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bluefoxfinance.sharepoint.com/Shared Documents/Blue Fox Finance/Operations/Zak/Research/"/>
    </mc:Choice>
  </mc:AlternateContent>
  <xr:revisionPtr revIDLastSave="1147" documentId="8_{55654927-312E-4721-BB4C-82182C0E4D7B}" xr6:coauthVersionLast="47" xr6:coauthVersionMax="47" xr10:uidLastSave="{2EEFF5EA-263D-4AFB-BF05-2F89672577FC}"/>
  <bookViews>
    <workbookView xWindow="-120" yWindow="-120" windowWidth="29040" windowHeight="15720" xr2:uid="{26A58E9E-0090-44D7-A450-FB98EA64679C}"/>
  </bookViews>
  <sheets>
    <sheet name="Compare" sheetId="6" r:id="rId1"/>
    <sheet name="Individual 1" sheetId="4" r:id="rId2"/>
    <sheet name="Individual 2" sheetId="7" r:id="rId3"/>
    <sheet name="Resources"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6" l="1"/>
  <c r="C12" i="6"/>
  <c r="C44" i="6" l="1"/>
  <c r="B5" i="4"/>
  <c r="B6" i="4"/>
  <c r="B7" i="4"/>
  <c r="B8" i="4"/>
  <c r="H4" i="4" s="1"/>
  <c r="B9" i="4"/>
  <c r="B10" i="4"/>
  <c r="B11" i="4"/>
  <c r="B12" i="4"/>
  <c r="B13" i="4"/>
  <c r="B3" i="4"/>
  <c r="B13" i="7"/>
  <c r="O3" i="7" s="1"/>
  <c r="B12" i="7"/>
  <c r="B11" i="7"/>
  <c r="B10" i="7"/>
  <c r="J3" i="7" s="1"/>
  <c r="B9" i="7"/>
  <c r="B8" i="7"/>
  <c r="H12" i="7" s="1"/>
  <c r="B7" i="7"/>
  <c r="B6" i="7"/>
  <c r="B5" i="7"/>
  <c r="B3" i="7"/>
  <c r="E3" i="7" s="1"/>
  <c r="J26" i="6"/>
  <c r="F26" i="6"/>
  <c r="C26" i="6"/>
  <c r="B4" i="7" s="1"/>
  <c r="AE41" i="7"/>
  <c r="AF41" i="7" s="1"/>
  <c r="AE40" i="7"/>
  <c r="AF40" i="7" s="1"/>
  <c r="AE39" i="7"/>
  <c r="AF39" i="7" s="1"/>
  <c r="AF38" i="7"/>
  <c r="AE38" i="7"/>
  <c r="AK3" i="7"/>
  <c r="Y3" i="7"/>
  <c r="N3" i="7"/>
  <c r="C55" i="2"/>
  <c r="C56" i="2"/>
  <c r="F12" i="6"/>
  <c r="B4" i="4"/>
  <c r="H6" i="7" l="1"/>
  <c r="P3" i="7"/>
  <c r="N26" i="6" s="1"/>
  <c r="AB3" i="7"/>
  <c r="AI3" i="7"/>
  <c r="L3" i="7"/>
  <c r="K26" i="6" s="1"/>
  <c r="E4" i="7"/>
  <c r="F3" i="7"/>
  <c r="AG3" i="7"/>
  <c r="H3" i="7"/>
  <c r="H32" i="7"/>
  <c r="H28" i="7"/>
  <c r="H11" i="7"/>
  <c r="H8" i="7"/>
  <c r="H5" i="7"/>
  <c r="H30" i="7"/>
  <c r="H22" i="7"/>
  <c r="H18" i="7"/>
  <c r="H14" i="7"/>
  <c r="H26" i="7"/>
  <c r="H10" i="7"/>
  <c r="H7" i="7"/>
  <c r="H33" i="7"/>
  <c r="H29" i="7"/>
  <c r="H25" i="7"/>
  <c r="H21" i="7"/>
  <c r="H17" i="7"/>
  <c r="H13" i="7"/>
  <c r="H4" i="7"/>
  <c r="H31" i="7"/>
  <c r="H27" i="7"/>
  <c r="H23" i="7"/>
  <c r="H20" i="7"/>
  <c r="H16" i="7"/>
  <c r="AC3" i="7"/>
  <c r="H19" i="7"/>
  <c r="H9" i="7"/>
  <c r="H15" i="7"/>
  <c r="H24" i="7"/>
  <c r="K3" i="7"/>
  <c r="J4" i="7"/>
  <c r="H33" i="4"/>
  <c r="H32" i="4"/>
  <c r="H30" i="4"/>
  <c r="H23" i="4"/>
  <c r="H22" i="4"/>
  <c r="H20" i="4"/>
  <c r="H18" i="4"/>
  <c r="H16" i="4"/>
  <c r="H14" i="4"/>
  <c r="H13" i="4"/>
  <c r="H12" i="4"/>
  <c r="H31" i="4"/>
  <c r="H25" i="4"/>
  <c r="H24" i="4"/>
  <c r="H21" i="4"/>
  <c r="H19" i="4"/>
  <c r="H17" i="4"/>
  <c r="H15" i="4"/>
  <c r="H11" i="4"/>
  <c r="H3" i="4"/>
  <c r="H10" i="4"/>
  <c r="H29" i="4"/>
  <c r="H9" i="4"/>
  <c r="H28" i="4"/>
  <c r="H8" i="4"/>
  <c r="H27" i="4"/>
  <c r="H7" i="4"/>
  <c r="H26" i="4"/>
  <c r="H6" i="4"/>
  <c r="H5" i="4"/>
  <c r="AE41" i="4"/>
  <c r="AF41" i="4" s="1"/>
  <c r="AE40" i="4"/>
  <c r="AF40" i="4" s="1"/>
  <c r="AE39" i="4"/>
  <c r="AF39" i="4" s="1"/>
  <c r="AE38" i="4"/>
  <c r="AF38" i="4" s="1"/>
  <c r="J5" i="7" l="1"/>
  <c r="K4" i="7"/>
  <c r="AI4" i="7"/>
  <c r="AC4" i="7"/>
  <c r="AB4" i="7"/>
  <c r="F4" i="7"/>
  <c r="I3" i="7"/>
  <c r="AA3" i="7" s="1"/>
  <c r="Z3" i="7"/>
  <c r="G3" i="7"/>
  <c r="AG4" i="7"/>
  <c r="L4" i="7"/>
  <c r="K27" i="6" s="1"/>
  <c r="E5" i="7"/>
  <c r="AH3" i="7"/>
  <c r="AJ3" i="7"/>
  <c r="AL3" i="7" s="1"/>
  <c r="O26" i="6" s="1"/>
  <c r="P26" i="6" s="1"/>
  <c r="J3" i="4"/>
  <c r="Y3" i="4"/>
  <c r="N3" i="4"/>
  <c r="E3" i="4"/>
  <c r="AG3" i="4" s="1"/>
  <c r="AD3" i="7" l="1"/>
  <c r="AE3" i="7" s="1"/>
  <c r="G26" i="6" s="1"/>
  <c r="F5" i="7"/>
  <c r="I4" i="7"/>
  <c r="AA4" i="7" s="1"/>
  <c r="G4" i="7"/>
  <c r="Z4" i="7"/>
  <c r="E6" i="7"/>
  <c r="AG5" i="7"/>
  <c r="L5" i="7"/>
  <c r="AH4" i="7"/>
  <c r="AJ4" i="7" s="1"/>
  <c r="AI5" i="7"/>
  <c r="AB5" i="7"/>
  <c r="K5" i="7"/>
  <c r="J6" i="7"/>
  <c r="AC5" i="7"/>
  <c r="J12" i="6"/>
  <c r="AK3" i="4"/>
  <c r="J4" i="4"/>
  <c r="J5" i="4" s="1"/>
  <c r="AI3" i="4"/>
  <c r="AH3" i="4"/>
  <c r="L3" i="4"/>
  <c r="K12" i="6" s="1"/>
  <c r="AC3" i="4"/>
  <c r="F3" i="4"/>
  <c r="I3" i="4" s="1"/>
  <c r="E4" i="4"/>
  <c r="AG4" i="4" s="1"/>
  <c r="AH4" i="4" s="1"/>
  <c r="K3" i="4"/>
  <c r="O3" i="4"/>
  <c r="P3" i="4"/>
  <c r="N12" i="6" s="1"/>
  <c r="AB3" i="4"/>
  <c r="AD4" i="7" l="1"/>
  <c r="AE4" i="7" s="1"/>
  <c r="G27" i="6" s="1"/>
  <c r="AJ3" i="4"/>
  <c r="AB4" i="4"/>
  <c r="K4" i="4"/>
  <c r="AB6" i="7"/>
  <c r="J7" i="7"/>
  <c r="K6" i="7"/>
  <c r="AI6" i="7"/>
  <c r="AC6" i="7"/>
  <c r="L6" i="7"/>
  <c r="K28" i="6" s="1"/>
  <c r="E7" i="7"/>
  <c r="AG6" i="7"/>
  <c r="M4" i="7"/>
  <c r="F27" i="6" s="1"/>
  <c r="AH5" i="7"/>
  <c r="AJ5" i="7" s="1"/>
  <c r="G5" i="7"/>
  <c r="Z5" i="7"/>
  <c r="F6" i="7"/>
  <c r="I5" i="7"/>
  <c r="AA5" i="7" s="1"/>
  <c r="G3" i="4"/>
  <c r="AC5" i="4"/>
  <c r="AI5" i="4"/>
  <c r="AC4" i="4"/>
  <c r="AI4" i="4"/>
  <c r="AJ4" i="4" s="1"/>
  <c r="E5" i="4"/>
  <c r="AG5" i="4" s="1"/>
  <c r="AH5" i="4" s="1"/>
  <c r="L4" i="4"/>
  <c r="K13" i="6" s="1"/>
  <c r="Z3" i="4"/>
  <c r="AA3" i="4"/>
  <c r="F4" i="4"/>
  <c r="AB5" i="4"/>
  <c r="K5" i="4"/>
  <c r="J6" i="4"/>
  <c r="AL3" i="4" l="1"/>
  <c r="O12" i="6" s="1"/>
  <c r="P12" i="6" s="1"/>
  <c r="I4" i="4"/>
  <c r="M4" i="4" s="1"/>
  <c r="M5" i="7"/>
  <c r="Y5" i="7" s="1"/>
  <c r="AD5" i="7"/>
  <c r="AE5" i="7" s="1"/>
  <c r="E8" i="7"/>
  <c r="L7" i="7"/>
  <c r="AG7" i="7"/>
  <c r="Z6" i="7"/>
  <c r="F7" i="7"/>
  <c r="G6" i="7"/>
  <c r="I6" i="7"/>
  <c r="AA6" i="7" s="1"/>
  <c r="Y4" i="7"/>
  <c r="N4" i="7"/>
  <c r="J27" i="6" s="1"/>
  <c r="AH6" i="7"/>
  <c r="AJ6" i="7" s="1"/>
  <c r="AI7" i="7"/>
  <c r="AB7" i="7"/>
  <c r="K7" i="7"/>
  <c r="J8" i="7"/>
  <c r="AC7" i="7"/>
  <c r="AJ5" i="4"/>
  <c r="AC6" i="4"/>
  <c r="AI6" i="4"/>
  <c r="E6" i="4"/>
  <c r="AG6" i="4" s="1"/>
  <c r="L5" i="4"/>
  <c r="AD3" i="4"/>
  <c r="AE3" i="4" s="1"/>
  <c r="G12" i="6" s="1"/>
  <c r="G4" i="4"/>
  <c r="Z4" i="4"/>
  <c r="F5" i="4"/>
  <c r="J7" i="4"/>
  <c r="AB6" i="4"/>
  <c r="K6" i="4"/>
  <c r="G5" i="4" l="1"/>
  <c r="I5" i="4"/>
  <c r="AI8" i="7"/>
  <c r="J9" i="7"/>
  <c r="AB8" i="7"/>
  <c r="K8" i="7"/>
  <c r="AC8" i="7"/>
  <c r="AH7" i="7"/>
  <c r="AJ7" i="7" s="1"/>
  <c r="O4" i="7"/>
  <c r="AK4" i="7"/>
  <c r="AL4" i="7" s="1"/>
  <c r="O27" i="6" s="1"/>
  <c r="P27" i="6" s="1"/>
  <c r="P4" i="7"/>
  <c r="N27" i="6" s="1"/>
  <c r="N5" i="7"/>
  <c r="M6" i="7"/>
  <c r="F8" i="7"/>
  <c r="I7" i="7"/>
  <c r="AA7" i="7" s="1"/>
  <c r="G7" i="7"/>
  <c r="Z7" i="7"/>
  <c r="AD6" i="7"/>
  <c r="AE6" i="7" s="1"/>
  <c r="G28" i="6" s="1"/>
  <c r="AG8" i="7"/>
  <c r="E9" i="7"/>
  <c r="L8" i="7"/>
  <c r="K29" i="6" s="1"/>
  <c r="AH6" i="4"/>
  <c r="AJ6" i="4" s="1"/>
  <c r="AC7" i="4"/>
  <c r="AI7" i="4"/>
  <c r="N4" i="4"/>
  <c r="F13" i="6"/>
  <c r="L6" i="4"/>
  <c r="K14" i="6" s="1"/>
  <c r="E7" i="4"/>
  <c r="AG7" i="4" s="1"/>
  <c r="AA4" i="4"/>
  <c r="AD4" i="4" s="1"/>
  <c r="AE4" i="4" s="1"/>
  <c r="G13" i="6" s="1"/>
  <c r="F6" i="4"/>
  <c r="Z5" i="4"/>
  <c r="Y4" i="4"/>
  <c r="K7" i="4"/>
  <c r="J8" i="4"/>
  <c r="S6" i="4" s="1"/>
  <c r="AB7" i="4"/>
  <c r="O4" i="4" l="1"/>
  <c r="P4" i="4"/>
  <c r="Y6" i="7"/>
  <c r="F28" i="6"/>
  <c r="AD7" i="7"/>
  <c r="AE7" i="7" s="1"/>
  <c r="M7" i="7"/>
  <c r="Y7" i="7" s="1"/>
  <c r="G6" i="4"/>
  <c r="I6" i="4"/>
  <c r="AA6" i="4" s="1"/>
  <c r="E10" i="7"/>
  <c r="L9" i="7"/>
  <c r="AG9" i="7"/>
  <c r="I8" i="7"/>
  <c r="AA8" i="7" s="1"/>
  <c r="G8" i="7"/>
  <c r="Z8" i="7"/>
  <c r="F9" i="7"/>
  <c r="AH8" i="7"/>
  <c r="AJ8" i="7" s="1"/>
  <c r="AK5" i="7"/>
  <c r="AL5" i="7" s="1"/>
  <c r="O5" i="7"/>
  <c r="N6" i="7" s="1"/>
  <c r="J28" i="6" s="1"/>
  <c r="P5" i="7"/>
  <c r="AB9" i="7"/>
  <c r="K9" i="7"/>
  <c r="J10" i="7"/>
  <c r="AI9" i="7"/>
  <c r="AC9" i="7"/>
  <c r="AC8" i="4"/>
  <c r="AI8" i="4"/>
  <c r="J13" i="6"/>
  <c r="AK4" i="4"/>
  <c r="AL4" i="4" s="1"/>
  <c r="O13" i="6" s="1"/>
  <c r="P13" i="6" s="1"/>
  <c r="AH7" i="4"/>
  <c r="AJ7" i="4" s="1"/>
  <c r="L7" i="4"/>
  <c r="E8" i="4"/>
  <c r="AG8" i="4" s="1"/>
  <c r="Z6" i="4"/>
  <c r="F7" i="4"/>
  <c r="AA5" i="4"/>
  <c r="AD5" i="4" s="1"/>
  <c r="AE5" i="4" s="1"/>
  <c r="M5" i="4"/>
  <c r="Y5" i="4" s="1"/>
  <c r="N13" i="6"/>
  <c r="AB8" i="4"/>
  <c r="K8" i="4"/>
  <c r="J9" i="4"/>
  <c r="M8" i="7" l="1"/>
  <c r="F29" i="6" s="1"/>
  <c r="AD8" i="7"/>
  <c r="AE8" i="7" s="1"/>
  <c r="G29" i="6" s="1"/>
  <c r="G7" i="4"/>
  <c r="I7" i="4"/>
  <c r="P6" i="7"/>
  <c r="N28" i="6" s="1"/>
  <c r="O6" i="7"/>
  <c r="N7" i="7" s="1"/>
  <c r="AK6" i="7"/>
  <c r="AL6" i="7" s="1"/>
  <c r="O28" i="6" s="1"/>
  <c r="P28" i="6" s="1"/>
  <c r="Z9" i="7"/>
  <c r="F10" i="7"/>
  <c r="I9" i="7"/>
  <c r="AA9" i="7" s="1"/>
  <c r="G9" i="7"/>
  <c r="K10" i="7"/>
  <c r="AI10" i="7"/>
  <c r="AB10" i="7"/>
  <c r="J11" i="7"/>
  <c r="AC10" i="7"/>
  <c r="E11" i="7"/>
  <c r="L10" i="7"/>
  <c r="AG10" i="7"/>
  <c r="AH9" i="7"/>
  <c r="AJ9" i="7" s="1"/>
  <c r="AC9" i="4"/>
  <c r="AI9" i="4"/>
  <c r="AH8" i="4"/>
  <c r="AJ8" i="4" s="1"/>
  <c r="L8" i="4"/>
  <c r="K15" i="6" s="1"/>
  <c r="E9" i="4"/>
  <c r="AG9" i="4" s="1"/>
  <c r="AH9" i="4" s="1"/>
  <c r="N5" i="4"/>
  <c r="AK5" i="4" s="1"/>
  <c r="AL5" i="4" s="1"/>
  <c r="AD6" i="4"/>
  <c r="AE6" i="4" s="1"/>
  <c r="G14" i="6" s="1"/>
  <c r="M6" i="4"/>
  <c r="Z7" i="4"/>
  <c r="F8" i="4"/>
  <c r="J10" i="4"/>
  <c r="AI10" i="4" s="1"/>
  <c r="AB9" i="4"/>
  <c r="K9" i="4"/>
  <c r="Y8" i="7" l="1"/>
  <c r="O5" i="4"/>
  <c r="N6" i="4" s="1"/>
  <c r="P5" i="4"/>
  <c r="G8" i="4"/>
  <c r="I8" i="4"/>
  <c r="P7" i="7"/>
  <c r="O7" i="7"/>
  <c r="N8" i="7" s="1"/>
  <c r="J29" i="6" s="1"/>
  <c r="AK7" i="7"/>
  <c r="AL7" i="7" s="1"/>
  <c r="S4" i="7"/>
  <c r="L11" i="7"/>
  <c r="S8" i="7" s="1"/>
  <c r="E12" i="7"/>
  <c r="AG11" i="7"/>
  <c r="F11" i="7"/>
  <c r="I10" i="7"/>
  <c r="AA10" i="7" s="1"/>
  <c r="G10" i="7"/>
  <c r="Z10" i="7"/>
  <c r="AH10" i="7"/>
  <c r="AJ10" i="7" s="1"/>
  <c r="AI11" i="7"/>
  <c r="AB11" i="7"/>
  <c r="K11" i="7"/>
  <c r="J12" i="7"/>
  <c r="AC11" i="7"/>
  <c r="M9" i="7"/>
  <c r="Y9" i="7" s="1"/>
  <c r="AD9" i="7"/>
  <c r="AE9" i="7" s="1"/>
  <c r="Y6" i="4"/>
  <c r="F14" i="6"/>
  <c r="AJ9" i="4"/>
  <c r="L9" i="4"/>
  <c r="E10" i="4"/>
  <c r="AG10" i="4" s="1"/>
  <c r="J11" i="4"/>
  <c r="AI11" i="4" s="1"/>
  <c r="AC10" i="4"/>
  <c r="Z8" i="4"/>
  <c r="F9" i="4"/>
  <c r="AA7" i="4"/>
  <c r="AD7" i="4" s="1"/>
  <c r="AE7" i="4" s="1"/>
  <c r="M7" i="4"/>
  <c r="Y7" i="4" s="1"/>
  <c r="AB10" i="4"/>
  <c r="K10" i="4"/>
  <c r="O6" i="4" l="1"/>
  <c r="N7" i="4" s="1"/>
  <c r="AK7" i="4" s="1"/>
  <c r="AL7" i="4" s="1"/>
  <c r="P6" i="4"/>
  <c r="N14" i="6" s="1"/>
  <c r="AD10" i="7"/>
  <c r="AE10" i="7" s="1"/>
  <c r="G9" i="4"/>
  <c r="I9" i="4"/>
  <c r="I11" i="7"/>
  <c r="M11" i="7" s="1"/>
  <c r="Y11" i="7" s="1"/>
  <c r="G11" i="7"/>
  <c r="Z11" i="7"/>
  <c r="F12" i="7"/>
  <c r="AH11" i="7"/>
  <c r="AJ11" i="7" s="1"/>
  <c r="S5" i="7"/>
  <c r="M10" i="7"/>
  <c r="Y10" i="7" s="1"/>
  <c r="L12" i="7"/>
  <c r="E13" i="7"/>
  <c r="AG12" i="7"/>
  <c r="AB12" i="7"/>
  <c r="J13" i="7"/>
  <c r="K12" i="7"/>
  <c r="AI12" i="7"/>
  <c r="AC12" i="7"/>
  <c r="AK8" i="7"/>
  <c r="AL8" i="7" s="1"/>
  <c r="O29" i="6" s="1"/>
  <c r="P29" i="6" s="1"/>
  <c r="P8" i="7"/>
  <c r="N29" i="6" s="1"/>
  <c r="O8" i="7"/>
  <c r="N9" i="7" s="1"/>
  <c r="AH10" i="4"/>
  <c r="AJ10" i="4" s="1"/>
  <c r="AK6" i="4"/>
  <c r="AL6" i="4" s="1"/>
  <c r="O14" i="6" s="1"/>
  <c r="P14" i="6" s="1"/>
  <c r="J14" i="6"/>
  <c r="L10" i="4"/>
  <c r="E11" i="4"/>
  <c r="AG11" i="4" s="1"/>
  <c r="AC11" i="4"/>
  <c r="Z9" i="4"/>
  <c r="F10" i="4"/>
  <c r="AA9" i="4"/>
  <c r="AA8" i="4"/>
  <c r="AD8" i="4" s="1"/>
  <c r="AE8" i="4" s="1"/>
  <c r="G15" i="6" s="1"/>
  <c r="M8" i="4"/>
  <c r="K11" i="4"/>
  <c r="J12" i="4"/>
  <c r="AB11" i="4"/>
  <c r="P7" i="4" l="1"/>
  <c r="O7" i="4"/>
  <c r="N8" i="4" s="1"/>
  <c r="P8" i="4" s="1"/>
  <c r="N15" i="6" s="1"/>
  <c r="G10" i="4"/>
  <c r="I10" i="4"/>
  <c r="P9" i="7"/>
  <c r="O9" i="7"/>
  <c r="N10" i="7" s="1"/>
  <c r="AK9" i="7"/>
  <c r="AL9" i="7" s="1"/>
  <c r="J14" i="7"/>
  <c r="K13" i="7"/>
  <c r="AI13" i="7"/>
  <c r="AB13" i="7"/>
  <c r="AC13" i="7"/>
  <c r="AH12" i="7"/>
  <c r="AJ12" i="7" s="1"/>
  <c r="E14" i="7"/>
  <c r="L13" i="7"/>
  <c r="K30" i="6" s="1"/>
  <c r="AG13" i="7"/>
  <c r="F13" i="7"/>
  <c r="I12" i="7"/>
  <c r="AA12" i="7" s="1"/>
  <c r="G12" i="7"/>
  <c r="Z12" i="7"/>
  <c r="S6" i="7"/>
  <c r="S7" i="7" s="1"/>
  <c r="S9" i="7" s="1"/>
  <c r="AA11" i="7"/>
  <c r="AD11" i="7" s="1"/>
  <c r="AE11" i="7" s="1"/>
  <c r="AC12" i="4"/>
  <c r="AI12" i="4"/>
  <c r="Y8" i="4"/>
  <c r="F15" i="6"/>
  <c r="AH11" i="4"/>
  <c r="AJ11" i="4" s="1"/>
  <c r="L11" i="4"/>
  <c r="E12" i="4"/>
  <c r="AG12" i="4" s="1"/>
  <c r="AD9" i="4"/>
  <c r="AE9" i="4" s="1"/>
  <c r="M9" i="4"/>
  <c r="Y9" i="4" s="1"/>
  <c r="Z10" i="4"/>
  <c r="F11" i="4"/>
  <c r="AB12" i="4"/>
  <c r="K12" i="4"/>
  <c r="J13" i="4"/>
  <c r="G11" i="4" l="1"/>
  <c r="I11" i="4"/>
  <c r="O10" i="7"/>
  <c r="N11" i="7" s="1"/>
  <c r="AK10" i="7"/>
  <c r="AL10" i="7" s="1"/>
  <c r="P10" i="7"/>
  <c r="AH13" i="7"/>
  <c r="AJ13" i="7" s="1"/>
  <c r="M12" i="7"/>
  <c r="Y12" i="7" s="1"/>
  <c r="AD12" i="7"/>
  <c r="AE12" i="7" s="1"/>
  <c r="F14" i="7"/>
  <c r="I13" i="7"/>
  <c r="AA13" i="7" s="1"/>
  <c r="G13" i="7"/>
  <c r="Z13" i="7"/>
  <c r="L14" i="7"/>
  <c r="E15" i="7"/>
  <c r="AG14" i="7"/>
  <c r="K14" i="7"/>
  <c r="AI14" i="7"/>
  <c r="AB14" i="7"/>
  <c r="J15" i="7"/>
  <c r="AC14" i="7"/>
  <c r="O8" i="4"/>
  <c r="N9" i="4" s="1"/>
  <c r="AC13" i="4"/>
  <c r="AI13" i="4"/>
  <c r="AH12" i="4"/>
  <c r="AJ12" i="4" s="1"/>
  <c r="AK8" i="4"/>
  <c r="AL8" i="4" s="1"/>
  <c r="O15" i="6" s="1"/>
  <c r="P15" i="6" s="1"/>
  <c r="J15" i="6"/>
  <c r="L12" i="4"/>
  <c r="E13" i="4"/>
  <c r="AG13" i="4" s="1"/>
  <c r="Z11" i="4"/>
  <c r="F12" i="4"/>
  <c r="AA10" i="4"/>
  <c r="AD10" i="4" s="1"/>
  <c r="AE10" i="4" s="1"/>
  <c r="M10" i="4"/>
  <c r="Y10" i="4" s="1"/>
  <c r="J14" i="4"/>
  <c r="AB13" i="4"/>
  <c r="K13" i="4"/>
  <c r="AD13" i="7" l="1"/>
  <c r="AE13" i="7" s="1"/>
  <c r="G30" i="6" s="1"/>
  <c r="G12" i="4"/>
  <c r="I12" i="4"/>
  <c r="AH14" i="7"/>
  <c r="AJ14" i="7" s="1"/>
  <c r="AG15" i="7"/>
  <c r="L15" i="7"/>
  <c r="E16" i="7"/>
  <c r="F15" i="7"/>
  <c r="I14" i="7"/>
  <c r="AA14" i="7" s="1"/>
  <c r="Z14" i="7"/>
  <c r="G14" i="7"/>
  <c r="M13" i="7"/>
  <c r="AK11" i="7"/>
  <c r="AL11" i="7" s="1"/>
  <c r="O11" i="7"/>
  <c r="N12" i="7" s="1"/>
  <c r="P11" i="7"/>
  <c r="AI15" i="7"/>
  <c r="AB15" i="7"/>
  <c r="J16" i="7"/>
  <c r="K15" i="7"/>
  <c r="AC15" i="7"/>
  <c r="AK9" i="4"/>
  <c r="AL9" i="4" s="1"/>
  <c r="O9" i="4"/>
  <c r="N10" i="4" s="1"/>
  <c r="AK10" i="4" s="1"/>
  <c r="AL10" i="4" s="1"/>
  <c r="P9" i="4"/>
  <c r="M11" i="4"/>
  <c r="Y11" i="4" s="1"/>
  <c r="AC14" i="4"/>
  <c r="AI14" i="4"/>
  <c r="AH13" i="4"/>
  <c r="AJ13" i="4" s="1"/>
  <c r="L13" i="4"/>
  <c r="K16" i="6" s="1"/>
  <c r="E14" i="4"/>
  <c r="AG14" i="4" s="1"/>
  <c r="S8" i="4"/>
  <c r="Z12" i="4"/>
  <c r="F13" i="4"/>
  <c r="AA12" i="4"/>
  <c r="AA11" i="4"/>
  <c r="AD11" i="4" s="1"/>
  <c r="AE11" i="4" s="1"/>
  <c r="M12" i="4"/>
  <c r="Y12" i="4" s="1"/>
  <c r="K14" i="4"/>
  <c r="J15" i="4"/>
  <c r="AB14" i="4"/>
  <c r="M14" i="7" l="1"/>
  <c r="Y14" i="7" s="1"/>
  <c r="Y13" i="7"/>
  <c r="F30" i="6"/>
  <c r="G13" i="4"/>
  <c r="I13" i="4"/>
  <c r="AA13" i="4" s="1"/>
  <c r="AD14" i="7"/>
  <c r="AE14" i="7" s="1"/>
  <c r="P12" i="7"/>
  <c r="O12" i="7"/>
  <c r="N13" i="7" s="1"/>
  <c r="J30" i="6" s="1"/>
  <c r="AK12" i="7"/>
  <c r="AL12" i="7" s="1"/>
  <c r="G15" i="7"/>
  <c r="Z15" i="7"/>
  <c r="I15" i="7"/>
  <c r="AA15" i="7" s="1"/>
  <c r="F16" i="7"/>
  <c r="L16" i="7"/>
  <c r="E17" i="7"/>
  <c r="AG16" i="7"/>
  <c r="AH15" i="7"/>
  <c r="AJ15" i="7" s="1"/>
  <c r="AB16" i="7"/>
  <c r="J17" i="7"/>
  <c r="K16" i="7"/>
  <c r="AI16" i="7"/>
  <c r="AC16" i="7"/>
  <c r="P10" i="4"/>
  <c r="O10" i="4"/>
  <c r="N11" i="4" s="1"/>
  <c r="AK11" i="4" s="1"/>
  <c r="AL11" i="4" s="1"/>
  <c r="AC15" i="4"/>
  <c r="AI15" i="4"/>
  <c r="AH14" i="4"/>
  <c r="AJ14" i="4" s="1"/>
  <c r="L14" i="4"/>
  <c r="E15" i="4"/>
  <c r="AG15" i="4" s="1"/>
  <c r="AD12" i="4"/>
  <c r="AE12" i="4" s="1"/>
  <c r="Z13" i="4"/>
  <c r="F14" i="4"/>
  <c r="J16" i="4"/>
  <c r="AB15" i="4"/>
  <c r="K15" i="4"/>
  <c r="O11" i="4" l="1"/>
  <c r="N12" i="4" s="1"/>
  <c r="AK12" i="4" s="1"/>
  <c r="AL12" i="4" s="1"/>
  <c r="P11" i="4"/>
  <c r="M15" i="7"/>
  <c r="Y15" i="7" s="1"/>
  <c r="G14" i="4"/>
  <c r="I14" i="4"/>
  <c r="P13" i="7"/>
  <c r="N30" i="6" s="1"/>
  <c r="O13" i="7"/>
  <c r="N14" i="7" s="1"/>
  <c r="AK13" i="7"/>
  <c r="AL13" i="7" s="1"/>
  <c r="O30" i="6" s="1"/>
  <c r="P30" i="6" s="1"/>
  <c r="E18" i="7"/>
  <c r="L17" i="7"/>
  <c r="AG17" i="7"/>
  <c r="Z16" i="7"/>
  <c r="F17" i="7"/>
  <c r="G16" i="7"/>
  <c r="I16" i="7"/>
  <c r="AA16" i="7" s="1"/>
  <c r="AD15" i="7"/>
  <c r="AE15" i="7" s="1"/>
  <c r="J18" i="7"/>
  <c r="K17" i="7"/>
  <c r="AI17" i="7"/>
  <c r="AB17" i="7"/>
  <c r="AC17" i="7"/>
  <c r="AH16" i="7"/>
  <c r="AJ16" i="7" s="1"/>
  <c r="AH15" i="4"/>
  <c r="AJ15" i="4" s="1"/>
  <c r="AC16" i="4"/>
  <c r="AI16" i="4"/>
  <c r="L15" i="4"/>
  <c r="E16" i="4"/>
  <c r="AG16" i="4" s="1"/>
  <c r="M13" i="4"/>
  <c r="AD13" i="4"/>
  <c r="AE13" i="4" s="1"/>
  <c r="G16" i="6" s="1"/>
  <c r="Z14" i="4"/>
  <c r="F15" i="4"/>
  <c r="AA14" i="4"/>
  <c r="O12" i="4"/>
  <c r="J17" i="4"/>
  <c r="AB16" i="4"/>
  <c r="K16" i="4"/>
  <c r="P12" i="4" l="1"/>
  <c r="G15" i="4"/>
  <c r="I15" i="4"/>
  <c r="AA15" i="4" s="1"/>
  <c r="AD16" i="7"/>
  <c r="AE16" i="7" s="1"/>
  <c r="L18" i="7"/>
  <c r="K31" i="6" s="1"/>
  <c r="E19" i="7"/>
  <c r="AG18" i="7"/>
  <c r="M16" i="7"/>
  <c r="Y16" i="7" s="1"/>
  <c r="AH17" i="7"/>
  <c r="AJ17" i="7" s="1"/>
  <c r="AK14" i="7"/>
  <c r="AL14" i="7" s="1"/>
  <c r="P14" i="7"/>
  <c r="O14" i="7"/>
  <c r="N15" i="7" s="1"/>
  <c r="K18" i="7"/>
  <c r="AI18" i="7"/>
  <c r="AB18" i="7"/>
  <c r="J19" i="7"/>
  <c r="AC18" i="7"/>
  <c r="F18" i="7"/>
  <c r="I17" i="7"/>
  <c r="AA17" i="7" s="1"/>
  <c r="G17" i="7"/>
  <c r="Z17" i="7"/>
  <c r="AC17" i="4"/>
  <c r="AI17" i="4"/>
  <c r="AH16" i="4"/>
  <c r="AJ16" i="4" s="1"/>
  <c r="Y13" i="4"/>
  <c r="F16" i="6"/>
  <c r="L16" i="4"/>
  <c r="E17" i="4"/>
  <c r="AG17" i="4" s="1"/>
  <c r="N13" i="4"/>
  <c r="O13" i="4" s="1"/>
  <c r="M14" i="4"/>
  <c r="Y14" i="4" s="1"/>
  <c r="AD14" i="4"/>
  <c r="AE14" i="4" s="1"/>
  <c r="Z15" i="4"/>
  <c r="F16" i="4"/>
  <c r="AB17" i="4"/>
  <c r="K17" i="4"/>
  <c r="J18" i="4"/>
  <c r="P13" i="4" l="1"/>
  <c r="N16" i="6" s="1"/>
  <c r="G16" i="4"/>
  <c r="I16" i="4"/>
  <c r="O15" i="7"/>
  <c r="N16" i="7" s="1"/>
  <c r="P15" i="7"/>
  <c r="AK15" i="7"/>
  <c r="AL15" i="7" s="1"/>
  <c r="AI19" i="7"/>
  <c r="AB19" i="7"/>
  <c r="J20" i="7"/>
  <c r="K19" i="7"/>
  <c r="AC19" i="7"/>
  <c r="F19" i="7"/>
  <c r="I18" i="7"/>
  <c r="AA18" i="7" s="1"/>
  <c r="G18" i="7"/>
  <c r="Z18" i="7"/>
  <c r="AD17" i="7"/>
  <c r="AE17" i="7" s="1"/>
  <c r="M17" i="7"/>
  <c r="Y17" i="7" s="1"/>
  <c r="AH18" i="7"/>
  <c r="AJ18" i="7" s="1"/>
  <c r="AG19" i="7"/>
  <c r="L19" i="7"/>
  <c r="E20" i="7"/>
  <c r="N14" i="4"/>
  <c r="AK14" i="4" s="1"/>
  <c r="AL14" i="4" s="1"/>
  <c r="AC18" i="4"/>
  <c r="AI18" i="4"/>
  <c r="AK13" i="4"/>
  <c r="AL13" i="4" s="1"/>
  <c r="O16" i="6" s="1"/>
  <c r="P16" i="6" s="1"/>
  <c r="J16" i="6"/>
  <c r="AH17" i="4"/>
  <c r="AJ17" i="4" s="1"/>
  <c r="L17" i="4"/>
  <c r="E18" i="4"/>
  <c r="AG18" i="4" s="1"/>
  <c r="AD15" i="4"/>
  <c r="AE15" i="4" s="1"/>
  <c r="M15" i="4"/>
  <c r="Y15" i="4" s="1"/>
  <c r="Z16" i="4"/>
  <c r="F17" i="4"/>
  <c r="J19" i="4"/>
  <c r="K18" i="4"/>
  <c r="AB18" i="4"/>
  <c r="P14" i="4" l="1"/>
  <c r="O14" i="4"/>
  <c r="N15" i="4" s="1"/>
  <c r="AK15" i="4" s="1"/>
  <c r="AL15" i="4" s="1"/>
  <c r="AD18" i="7"/>
  <c r="AE18" i="7" s="1"/>
  <c r="G31" i="6" s="1"/>
  <c r="M18" i="7"/>
  <c r="G17" i="4"/>
  <c r="I17" i="4"/>
  <c r="AA17" i="4" s="1"/>
  <c r="P16" i="7"/>
  <c r="O16" i="7"/>
  <c r="N17" i="7" s="1"/>
  <c r="AK16" i="7"/>
  <c r="AL16" i="7" s="1"/>
  <c r="AH19" i="7"/>
  <c r="AJ19" i="7" s="1"/>
  <c r="G19" i="7"/>
  <c r="Z19" i="7"/>
  <c r="I19" i="7"/>
  <c r="AA19" i="7" s="1"/>
  <c r="F20" i="7"/>
  <c r="AB20" i="7"/>
  <c r="J21" i="7"/>
  <c r="K20" i="7"/>
  <c r="AI20" i="7"/>
  <c r="AC20" i="7"/>
  <c r="L20" i="7"/>
  <c r="E21" i="7"/>
  <c r="AG20" i="7"/>
  <c r="AC19" i="4"/>
  <c r="AI19" i="4"/>
  <c r="AH18" i="4"/>
  <c r="AJ18" i="4" s="1"/>
  <c r="L18" i="4"/>
  <c r="E19" i="4"/>
  <c r="AG19" i="4" s="1"/>
  <c r="AA16" i="4"/>
  <c r="AD16" i="4" s="1"/>
  <c r="AE16" i="4" s="1"/>
  <c r="M16" i="4"/>
  <c r="Y16" i="4" s="1"/>
  <c r="Z17" i="4"/>
  <c r="F18" i="4"/>
  <c r="J20" i="4"/>
  <c r="AB19" i="4"/>
  <c r="K19" i="4"/>
  <c r="Y18" i="7" l="1"/>
  <c r="F31" i="6"/>
  <c r="K17" i="6"/>
  <c r="O15" i="4"/>
  <c r="N16" i="4" s="1"/>
  <c r="AK16" i="4" s="1"/>
  <c r="AL16" i="4" s="1"/>
  <c r="G18" i="4"/>
  <c r="I18" i="4"/>
  <c r="AA18" i="4" s="1"/>
  <c r="M19" i="7"/>
  <c r="Y19" i="7" s="1"/>
  <c r="P15" i="4"/>
  <c r="P17" i="7"/>
  <c r="O17" i="7"/>
  <c r="N18" i="7" s="1"/>
  <c r="J31" i="6" s="1"/>
  <c r="AK17" i="7"/>
  <c r="AL17" i="7" s="1"/>
  <c r="AH20" i="7"/>
  <c r="AJ20" i="7" s="1"/>
  <c r="Z20" i="7"/>
  <c r="F21" i="7"/>
  <c r="I20" i="7"/>
  <c r="AA20" i="7" s="1"/>
  <c r="G20" i="7"/>
  <c r="E22" i="7"/>
  <c r="L21" i="7"/>
  <c r="AG21" i="7"/>
  <c r="J22" i="7"/>
  <c r="K21" i="7"/>
  <c r="AI21" i="7"/>
  <c r="AC21" i="7"/>
  <c r="AB21" i="7"/>
  <c r="AD19" i="7"/>
  <c r="AE19" i="7" s="1"/>
  <c r="AH19" i="4"/>
  <c r="AJ19" i="4" s="1"/>
  <c r="AC20" i="4"/>
  <c r="AI20" i="4"/>
  <c r="L19" i="4"/>
  <c r="E20" i="4"/>
  <c r="AG20" i="4" s="1"/>
  <c r="M17" i="4"/>
  <c r="AD17" i="4"/>
  <c r="AE17" i="4" s="1"/>
  <c r="Z18" i="4"/>
  <c r="F19" i="4"/>
  <c r="J21" i="4"/>
  <c r="AB20" i="4"/>
  <c r="K20" i="4"/>
  <c r="P16" i="4" l="1"/>
  <c r="O16" i="4"/>
  <c r="N17" i="4" s="1"/>
  <c r="AK17" i="4" s="1"/>
  <c r="AL17" i="4" s="1"/>
  <c r="Y17" i="4"/>
  <c r="G19" i="4"/>
  <c r="I19" i="4"/>
  <c r="AA19" i="4" s="1"/>
  <c r="K22" i="7"/>
  <c r="AI22" i="7"/>
  <c r="AB22" i="7"/>
  <c r="J23" i="7"/>
  <c r="AC22" i="7"/>
  <c r="AH21" i="7"/>
  <c r="AJ21" i="7" s="1"/>
  <c r="F22" i="7"/>
  <c r="I21" i="7"/>
  <c r="AA21" i="7" s="1"/>
  <c r="G21" i="7"/>
  <c r="Z21" i="7"/>
  <c r="L22" i="7"/>
  <c r="E23" i="7"/>
  <c r="AG22" i="7"/>
  <c r="M20" i="7"/>
  <c r="Y20" i="7" s="1"/>
  <c r="AK18" i="7"/>
  <c r="AL18" i="7" s="1"/>
  <c r="O31" i="6" s="1"/>
  <c r="P31" i="6" s="1"/>
  <c r="O18" i="7"/>
  <c r="N19" i="7" s="1"/>
  <c r="P18" i="7"/>
  <c r="N31" i="6" s="1"/>
  <c r="AD20" i="7"/>
  <c r="AE20" i="7" s="1"/>
  <c r="AC21" i="4"/>
  <c r="AI21" i="4"/>
  <c r="AH20" i="4"/>
  <c r="AJ20" i="4" s="1"/>
  <c r="L20" i="4"/>
  <c r="E21" i="4"/>
  <c r="AG21" i="4" s="1"/>
  <c r="AD18" i="4"/>
  <c r="AE18" i="4" s="1"/>
  <c r="M18" i="4"/>
  <c r="Z19" i="4"/>
  <c r="F20" i="4"/>
  <c r="K21" i="4"/>
  <c r="J22" i="4"/>
  <c r="AB21" i="4"/>
  <c r="O17" i="4" l="1"/>
  <c r="N18" i="4" s="1"/>
  <c r="P17" i="4"/>
  <c r="G17" i="6"/>
  <c r="AD21" i="7"/>
  <c r="AE21" i="7" s="1"/>
  <c r="G20" i="4"/>
  <c r="I20" i="4"/>
  <c r="AG23" i="7"/>
  <c r="L23" i="7"/>
  <c r="K32" i="6" s="1"/>
  <c r="E24" i="7"/>
  <c r="O19" i="7"/>
  <c r="N20" i="7" s="1"/>
  <c r="P19" i="7"/>
  <c r="AK19" i="7"/>
  <c r="AL19" i="7" s="1"/>
  <c r="M21" i="7"/>
  <c r="Y21" i="7" s="1"/>
  <c r="AH22" i="7"/>
  <c r="AJ22" i="7" s="1"/>
  <c r="AI23" i="7"/>
  <c r="AB23" i="7"/>
  <c r="J24" i="7"/>
  <c r="K23" i="7"/>
  <c r="AC23" i="7"/>
  <c r="F23" i="7"/>
  <c r="I22" i="7"/>
  <c r="AA22" i="7" s="1"/>
  <c r="G22" i="7"/>
  <c r="Z22" i="7"/>
  <c r="AC22" i="4"/>
  <c r="AI22" i="4"/>
  <c r="Y18" i="4"/>
  <c r="F17" i="6"/>
  <c r="AH21" i="4"/>
  <c r="AJ21" i="4" s="1"/>
  <c r="M19" i="4"/>
  <c r="Y19" i="4" s="1"/>
  <c r="L21" i="4"/>
  <c r="E22" i="4"/>
  <c r="AG22" i="4" s="1"/>
  <c r="AD19" i="4"/>
  <c r="AE19" i="4" s="1"/>
  <c r="Z20" i="4"/>
  <c r="F21" i="4"/>
  <c r="AB22" i="4"/>
  <c r="K22" i="4"/>
  <c r="J23" i="4"/>
  <c r="P18" i="4" l="1"/>
  <c r="N17" i="6" s="1"/>
  <c r="O18" i="4"/>
  <c r="N19" i="4" s="1"/>
  <c r="AK19" i="4" s="1"/>
  <c r="AL19" i="4" s="1"/>
  <c r="M22" i="7"/>
  <c r="Y22" i="7" s="1"/>
  <c r="G21" i="4"/>
  <c r="I21" i="4"/>
  <c r="P20" i="7"/>
  <c r="O20" i="7"/>
  <c r="N21" i="7" s="1"/>
  <c r="AK20" i="7"/>
  <c r="AL20" i="7" s="1"/>
  <c r="G23" i="7"/>
  <c r="Z23" i="7"/>
  <c r="I23" i="7"/>
  <c r="AA23" i="7" s="1"/>
  <c r="F24" i="7"/>
  <c r="AB24" i="7"/>
  <c r="J25" i="7"/>
  <c r="K24" i="7"/>
  <c r="AI24" i="7"/>
  <c r="AC24" i="7"/>
  <c r="L24" i="7"/>
  <c r="E25" i="7"/>
  <c r="AG24" i="7"/>
  <c r="AH23" i="7"/>
  <c r="AJ23" i="7" s="1"/>
  <c r="AD22" i="7"/>
  <c r="AE22" i="7" s="1"/>
  <c r="AH22" i="4"/>
  <c r="AJ22" i="4" s="1"/>
  <c r="AK18" i="4"/>
  <c r="AL18" i="4" s="1"/>
  <c r="J17" i="6"/>
  <c r="AC23" i="4"/>
  <c r="AI23" i="4"/>
  <c r="L22" i="4"/>
  <c r="E23" i="4"/>
  <c r="AG23" i="4" s="1"/>
  <c r="Z21" i="4"/>
  <c r="F22" i="4"/>
  <c r="AA20" i="4"/>
  <c r="AD20" i="4" s="1"/>
  <c r="AE20" i="4" s="1"/>
  <c r="M20" i="4"/>
  <c r="J24" i="4"/>
  <c r="AB23" i="4"/>
  <c r="K23" i="4"/>
  <c r="P19" i="4" l="1"/>
  <c r="O19" i="4"/>
  <c r="N20" i="4" s="1"/>
  <c r="O20" i="4" s="1"/>
  <c r="O17" i="6"/>
  <c r="P17" i="6" s="1"/>
  <c r="Y20" i="4"/>
  <c r="G22" i="4"/>
  <c r="I22" i="4"/>
  <c r="AA22" i="4" s="1"/>
  <c r="P21" i="7"/>
  <c r="O21" i="7"/>
  <c r="N22" i="7" s="1"/>
  <c r="AK21" i="7"/>
  <c r="AL21" i="7" s="1"/>
  <c r="L25" i="7"/>
  <c r="E26" i="7"/>
  <c r="AG25" i="7"/>
  <c r="AH24" i="7"/>
  <c r="AJ24" i="7" s="1"/>
  <c r="J26" i="7"/>
  <c r="K25" i="7"/>
  <c r="AI25" i="7"/>
  <c r="AB25" i="7"/>
  <c r="AC25" i="7"/>
  <c r="Z24" i="7"/>
  <c r="F25" i="7"/>
  <c r="I24" i="7"/>
  <c r="AA24" i="7" s="1"/>
  <c r="G24" i="7"/>
  <c r="M23" i="7"/>
  <c r="AD23" i="7"/>
  <c r="AE23" i="7" s="1"/>
  <c r="G32" i="6" s="1"/>
  <c r="AC24" i="4"/>
  <c r="AI24" i="4"/>
  <c r="AH23" i="4"/>
  <c r="AJ23" i="4" s="1"/>
  <c r="L23" i="4"/>
  <c r="K18" i="6" s="1"/>
  <c r="E24" i="4"/>
  <c r="AG24" i="4" s="1"/>
  <c r="Z22" i="4"/>
  <c r="F23" i="4"/>
  <c r="AA21" i="4"/>
  <c r="AD21" i="4" s="1"/>
  <c r="AE21" i="4" s="1"/>
  <c r="M21" i="4"/>
  <c r="Y21" i="4" s="1"/>
  <c r="K24" i="4"/>
  <c r="J25" i="4"/>
  <c r="AB24" i="4"/>
  <c r="P20" i="4" l="1"/>
  <c r="Y23" i="7"/>
  <c r="F32" i="6"/>
  <c r="AK20" i="4"/>
  <c r="AL20" i="4" s="1"/>
  <c r="G23" i="4"/>
  <c r="I23" i="4"/>
  <c r="AD24" i="7"/>
  <c r="AE24" i="7" s="1"/>
  <c r="M24" i="7"/>
  <c r="Y24" i="7" s="1"/>
  <c r="K26" i="7"/>
  <c r="AI26" i="7"/>
  <c r="AB26" i="7"/>
  <c r="J27" i="7"/>
  <c r="AC26" i="7"/>
  <c r="AH25" i="7"/>
  <c r="AJ25" i="7" s="1"/>
  <c r="F26" i="7"/>
  <c r="I25" i="7"/>
  <c r="AA25" i="7" s="1"/>
  <c r="G25" i="7"/>
  <c r="Z25" i="7"/>
  <c r="L26" i="7"/>
  <c r="E27" i="7"/>
  <c r="AG26" i="7"/>
  <c r="AK22" i="7"/>
  <c r="AL22" i="7" s="1"/>
  <c r="O22" i="7"/>
  <c r="N23" i="7" s="1"/>
  <c r="J32" i="6" s="1"/>
  <c r="P22" i="7"/>
  <c r="AC25" i="4"/>
  <c r="AI25" i="4"/>
  <c r="AH24" i="4"/>
  <c r="AJ24" i="4" s="1"/>
  <c r="L24" i="4"/>
  <c r="E25" i="4"/>
  <c r="AG25" i="4" s="1"/>
  <c r="N21" i="4"/>
  <c r="AK21" i="4" s="1"/>
  <c r="AL21" i="4" s="1"/>
  <c r="M22" i="4"/>
  <c r="AD22" i="4"/>
  <c r="AE22" i="4" s="1"/>
  <c r="Z23" i="4"/>
  <c r="F24" i="4"/>
  <c r="K25" i="4"/>
  <c r="AB25" i="4"/>
  <c r="J26" i="4"/>
  <c r="P21" i="4" l="1"/>
  <c r="Y22" i="4"/>
  <c r="AD25" i="7"/>
  <c r="AE25" i="7" s="1"/>
  <c r="G24" i="4"/>
  <c r="I24" i="4"/>
  <c r="AA24" i="4" s="1"/>
  <c r="O21" i="4"/>
  <c r="N22" i="4" s="1"/>
  <c r="AG27" i="7"/>
  <c r="E28" i="7"/>
  <c r="L27" i="7"/>
  <c r="P23" i="7"/>
  <c r="N32" i="6" s="1"/>
  <c r="O23" i="7"/>
  <c r="N24" i="7" s="1"/>
  <c r="AK23" i="7"/>
  <c r="AL23" i="7" s="1"/>
  <c r="O32" i="6" s="1"/>
  <c r="P32" i="6" s="1"/>
  <c r="M25" i="7"/>
  <c r="Y25" i="7" s="1"/>
  <c r="AH26" i="7"/>
  <c r="AJ26" i="7" s="1"/>
  <c r="F27" i="7"/>
  <c r="G26" i="7"/>
  <c r="I26" i="7"/>
  <c r="AA26" i="7" s="1"/>
  <c r="Z26" i="7"/>
  <c r="AI27" i="7"/>
  <c r="AB27" i="7"/>
  <c r="J28" i="7"/>
  <c r="K27" i="7"/>
  <c r="AC27" i="7"/>
  <c r="AC26" i="4"/>
  <c r="AI26" i="4"/>
  <c r="AH25" i="4"/>
  <c r="AJ25" i="4" s="1"/>
  <c r="L25" i="4"/>
  <c r="E26" i="4"/>
  <c r="AG26" i="4" s="1"/>
  <c r="Z24" i="4"/>
  <c r="F25" i="4"/>
  <c r="AA23" i="4"/>
  <c r="AD23" i="4" s="1"/>
  <c r="AE23" i="4" s="1"/>
  <c r="G18" i="6" s="1"/>
  <c r="M23" i="4"/>
  <c r="AB26" i="4"/>
  <c r="K26" i="4"/>
  <c r="J27" i="4"/>
  <c r="AD26" i="7" l="1"/>
  <c r="AE26" i="7" s="1"/>
  <c r="M26" i="7"/>
  <c r="Y26" i="7" s="1"/>
  <c r="AK22" i="4"/>
  <c r="AL22" i="4" s="1"/>
  <c r="O22" i="4"/>
  <c r="N23" i="4" s="1"/>
  <c r="O23" i="4" s="1"/>
  <c r="P22" i="4"/>
  <c r="G25" i="4"/>
  <c r="I25" i="4"/>
  <c r="P24" i="7"/>
  <c r="O24" i="7"/>
  <c r="N25" i="7" s="1"/>
  <c r="AK24" i="7"/>
  <c r="AL24" i="7" s="1"/>
  <c r="L28" i="7"/>
  <c r="K33" i="6" s="1"/>
  <c r="E29" i="7"/>
  <c r="AG28" i="7"/>
  <c r="G27" i="7"/>
  <c r="Z27" i="7"/>
  <c r="I27" i="7"/>
  <c r="AA27" i="7" s="1"/>
  <c r="F28" i="7"/>
  <c r="AH27" i="7"/>
  <c r="AJ27" i="7" s="1"/>
  <c r="AB28" i="7"/>
  <c r="J29" i="7"/>
  <c r="K28" i="7"/>
  <c r="AI28" i="7"/>
  <c r="AC28" i="7"/>
  <c r="Y23" i="4"/>
  <c r="F18" i="6"/>
  <c r="AC27" i="4"/>
  <c r="AI27" i="4"/>
  <c r="AH26" i="4"/>
  <c r="AJ26" i="4" s="1"/>
  <c r="L26" i="4"/>
  <c r="E27" i="4"/>
  <c r="AG27" i="4" s="1"/>
  <c r="AD24" i="4"/>
  <c r="AE24" i="4" s="1"/>
  <c r="M24" i="4"/>
  <c r="Y24" i="4" s="1"/>
  <c r="Z25" i="4"/>
  <c r="F26" i="4"/>
  <c r="K27" i="4"/>
  <c r="J28" i="4"/>
  <c r="AB27" i="4"/>
  <c r="P23" i="4" l="1"/>
  <c r="N18" i="6" s="1"/>
  <c r="M27" i="7"/>
  <c r="Y27" i="7" s="1"/>
  <c r="G26" i="4"/>
  <c r="I26" i="4"/>
  <c r="P25" i="7"/>
  <c r="O25" i="7"/>
  <c r="N26" i="7" s="1"/>
  <c r="AK25" i="7"/>
  <c r="AL25" i="7" s="1"/>
  <c r="Z28" i="7"/>
  <c r="I28" i="7"/>
  <c r="AA28" i="7" s="1"/>
  <c r="F29" i="7"/>
  <c r="G28" i="7"/>
  <c r="AH28" i="7"/>
  <c r="AJ28" i="7" s="1"/>
  <c r="J30" i="7"/>
  <c r="K29" i="7"/>
  <c r="AI29" i="7"/>
  <c r="AB29" i="7"/>
  <c r="AC29" i="7"/>
  <c r="AD27" i="7"/>
  <c r="AE27" i="7" s="1"/>
  <c r="L29" i="7"/>
  <c r="E30" i="7"/>
  <c r="AG29" i="7"/>
  <c r="N24" i="4"/>
  <c r="AK24" i="4" s="1"/>
  <c r="AL24" i="4" s="1"/>
  <c r="AC28" i="4"/>
  <c r="AI28" i="4"/>
  <c r="AH27" i="4"/>
  <c r="AJ27" i="4" s="1"/>
  <c r="AK23" i="4"/>
  <c r="AL23" i="4" s="1"/>
  <c r="O18" i="6" s="1"/>
  <c r="P18" i="6" s="1"/>
  <c r="J18" i="6"/>
  <c r="L27" i="4"/>
  <c r="E28" i="4"/>
  <c r="AG28" i="4" s="1"/>
  <c r="Z26" i="4"/>
  <c r="F27" i="4"/>
  <c r="AA26" i="4"/>
  <c r="AA25" i="4"/>
  <c r="AD25" i="4" s="1"/>
  <c r="AE25" i="4" s="1"/>
  <c r="M25" i="4"/>
  <c r="Y25" i="4" s="1"/>
  <c r="K28" i="4"/>
  <c r="J29" i="4"/>
  <c r="AB28" i="4"/>
  <c r="G27" i="4" l="1"/>
  <c r="I27" i="4"/>
  <c r="AA27" i="4" s="1"/>
  <c r="F30" i="7"/>
  <c r="I29" i="7"/>
  <c r="AA29" i="7" s="1"/>
  <c r="G29" i="7"/>
  <c r="Z29" i="7"/>
  <c r="L30" i="7"/>
  <c r="E31" i="7"/>
  <c r="AG30" i="7"/>
  <c r="K30" i="7"/>
  <c r="AI30" i="7"/>
  <c r="AB30" i="7"/>
  <c r="J31" i="7"/>
  <c r="AC30" i="7"/>
  <c r="M28" i="7"/>
  <c r="AK26" i="7"/>
  <c r="AL26" i="7" s="1"/>
  <c r="P26" i="7"/>
  <c r="O26" i="7"/>
  <c r="N27" i="7" s="1"/>
  <c r="AD28" i="7"/>
  <c r="AE28" i="7" s="1"/>
  <c r="G33" i="6" s="1"/>
  <c r="AH29" i="7"/>
  <c r="AJ29" i="7" s="1"/>
  <c r="O24" i="4"/>
  <c r="N25" i="4" s="1"/>
  <c r="P24" i="4"/>
  <c r="AC29" i="4"/>
  <c r="AI29" i="4"/>
  <c r="AH28" i="4"/>
  <c r="AJ28" i="4" s="1"/>
  <c r="L28" i="4"/>
  <c r="E29" i="4"/>
  <c r="AG29" i="4" s="1"/>
  <c r="AH29" i="4" s="1"/>
  <c r="AD26" i="4"/>
  <c r="AE26" i="4" s="1"/>
  <c r="M26" i="4"/>
  <c r="Y26" i="4" s="1"/>
  <c r="Z27" i="4"/>
  <c r="F28" i="4"/>
  <c r="AB29" i="4"/>
  <c r="K29" i="4"/>
  <c r="J30" i="4"/>
  <c r="Y28" i="7" l="1"/>
  <c r="F33" i="6"/>
  <c r="AD29" i="7"/>
  <c r="AE29" i="7" s="1"/>
  <c r="K19" i="6"/>
  <c r="AK25" i="4"/>
  <c r="AL25" i="4" s="1"/>
  <c r="P25" i="4"/>
  <c r="O25" i="4"/>
  <c r="N26" i="4" s="1"/>
  <c r="G28" i="4"/>
  <c r="I28" i="4"/>
  <c r="P27" i="7"/>
  <c r="O27" i="7"/>
  <c r="N28" i="7" s="1"/>
  <c r="J33" i="6" s="1"/>
  <c r="AK27" i="7"/>
  <c r="AL27" i="7" s="1"/>
  <c r="AI31" i="7"/>
  <c r="AB31" i="7"/>
  <c r="J32" i="7"/>
  <c r="K31" i="7"/>
  <c r="AC31" i="7"/>
  <c r="AG31" i="7"/>
  <c r="L31" i="7"/>
  <c r="E32" i="7"/>
  <c r="F31" i="7"/>
  <c r="G30" i="7"/>
  <c r="I30" i="7"/>
  <c r="AA30" i="7" s="1"/>
  <c r="Z30" i="7"/>
  <c r="M29" i="7"/>
  <c r="Y29" i="7" s="1"/>
  <c r="AH30" i="7"/>
  <c r="AJ30" i="7" s="1"/>
  <c r="AC30" i="4"/>
  <c r="AI30" i="4"/>
  <c r="AJ29" i="4"/>
  <c r="M27" i="4"/>
  <c r="L29" i="4"/>
  <c r="E30" i="4"/>
  <c r="AG30" i="4" s="1"/>
  <c r="AD27" i="4"/>
  <c r="AE27" i="4" s="1"/>
  <c r="Z28" i="4"/>
  <c r="F29" i="4"/>
  <c r="J31" i="4"/>
  <c r="AB30" i="4"/>
  <c r="K30" i="4"/>
  <c r="Y27" i="4" l="1"/>
  <c r="AK26" i="4"/>
  <c r="AL26" i="4" s="1"/>
  <c r="P26" i="4"/>
  <c r="O26" i="4"/>
  <c r="N27" i="4" s="1"/>
  <c r="O27" i="4" s="1"/>
  <c r="G29" i="4"/>
  <c r="I29" i="4"/>
  <c r="P28" i="7"/>
  <c r="N33" i="6" s="1"/>
  <c r="O28" i="7"/>
  <c r="N29" i="7" s="1"/>
  <c r="AK28" i="7"/>
  <c r="AL28" i="7" s="1"/>
  <c r="O33" i="6" s="1"/>
  <c r="P33" i="6" s="1"/>
  <c r="M30" i="7"/>
  <c r="Y30" i="7" s="1"/>
  <c r="G31" i="7"/>
  <c r="Z31" i="7"/>
  <c r="I31" i="7"/>
  <c r="AA31" i="7" s="1"/>
  <c r="F32" i="7"/>
  <c r="AB32" i="7"/>
  <c r="J33" i="7"/>
  <c r="K32" i="7"/>
  <c r="AI32" i="7"/>
  <c r="AC32" i="7"/>
  <c r="AD30" i="7"/>
  <c r="AE30" i="7" s="1"/>
  <c r="L32" i="7"/>
  <c r="E33" i="7"/>
  <c r="AG32" i="7"/>
  <c r="AH31" i="7"/>
  <c r="AJ31" i="7" s="1"/>
  <c r="AC31" i="4"/>
  <c r="AI31" i="4"/>
  <c r="AH30" i="4"/>
  <c r="AJ30" i="4" s="1"/>
  <c r="L30" i="4"/>
  <c r="E31" i="4"/>
  <c r="AG31" i="4" s="1"/>
  <c r="Z29" i="4"/>
  <c r="F30" i="4"/>
  <c r="AA29" i="4"/>
  <c r="AA28" i="4"/>
  <c r="AD28" i="4" s="1"/>
  <c r="AE28" i="4" s="1"/>
  <c r="M28" i="4"/>
  <c r="K31" i="4"/>
  <c r="AB31" i="4"/>
  <c r="J32" i="4"/>
  <c r="P27" i="4" l="1"/>
  <c r="G19" i="6"/>
  <c r="AK27" i="4"/>
  <c r="AL27" i="4" s="1"/>
  <c r="M31" i="7"/>
  <c r="Y31" i="7" s="1"/>
  <c r="G30" i="4"/>
  <c r="I30" i="4"/>
  <c r="P29" i="7"/>
  <c r="O29" i="7"/>
  <c r="N30" i="7" s="1"/>
  <c r="AK29" i="7"/>
  <c r="AL29" i="7" s="1"/>
  <c r="L33" i="7"/>
  <c r="K34" i="6" s="1"/>
  <c r="AG33" i="7"/>
  <c r="AH32" i="7"/>
  <c r="AJ32" i="7" s="1"/>
  <c r="K33" i="7"/>
  <c r="AI33" i="7"/>
  <c r="AB33" i="7"/>
  <c r="AC33" i="7"/>
  <c r="AD31" i="7"/>
  <c r="AE31" i="7" s="1"/>
  <c r="Z32" i="7"/>
  <c r="I32" i="7"/>
  <c r="AA32" i="7" s="1"/>
  <c r="F33" i="7"/>
  <c r="G32" i="7"/>
  <c r="AC32" i="4"/>
  <c r="AI32" i="4"/>
  <c r="Y28" i="4"/>
  <c r="F19" i="6"/>
  <c r="AH31" i="4"/>
  <c r="AJ31" i="4" s="1"/>
  <c r="L31" i="4"/>
  <c r="E32" i="4"/>
  <c r="AG32" i="4" s="1"/>
  <c r="N28" i="4"/>
  <c r="M29" i="4"/>
  <c r="Y29" i="4" s="1"/>
  <c r="AD29" i="4"/>
  <c r="AE29" i="4" s="1"/>
  <c r="Z30" i="4"/>
  <c r="F31" i="4"/>
  <c r="S4" i="4"/>
  <c r="S5" i="4" s="1"/>
  <c r="J33" i="4"/>
  <c r="K32" i="4"/>
  <c r="AB32" i="4"/>
  <c r="P28" i="4" l="1"/>
  <c r="G31" i="4"/>
  <c r="I31" i="4"/>
  <c r="AA31" i="4" s="1"/>
  <c r="I33" i="7"/>
  <c r="AA33" i="7" s="1"/>
  <c r="G33" i="7"/>
  <c r="Z33" i="7"/>
  <c r="AD32" i="7"/>
  <c r="AE32" i="7" s="1"/>
  <c r="M32" i="7"/>
  <c r="Y32" i="7" s="1"/>
  <c r="AH33" i="7"/>
  <c r="AJ33" i="7" s="1"/>
  <c r="AK30" i="7"/>
  <c r="AL30" i="7" s="1"/>
  <c r="P30" i="7"/>
  <c r="O30" i="7"/>
  <c r="N31" i="7" s="1"/>
  <c r="O28" i="4"/>
  <c r="N29" i="4" s="1"/>
  <c r="AC33" i="4"/>
  <c r="AI33" i="4"/>
  <c r="AH32" i="4"/>
  <c r="AJ32" i="4" s="1"/>
  <c r="AK28" i="4"/>
  <c r="AL28" i="4" s="1"/>
  <c r="J19" i="6"/>
  <c r="L32" i="4"/>
  <c r="E33" i="4"/>
  <c r="S7" i="4"/>
  <c r="S9" i="4" s="1"/>
  <c r="AA30" i="4"/>
  <c r="AD30" i="4" s="1"/>
  <c r="AE30" i="4" s="1"/>
  <c r="M30" i="4"/>
  <c r="Y30" i="4" s="1"/>
  <c r="Z31" i="4"/>
  <c r="F32" i="4"/>
  <c r="AB33" i="4"/>
  <c r="K33" i="4"/>
  <c r="O19" i="6" l="1"/>
  <c r="P19" i="6" s="1"/>
  <c r="N19" i="6"/>
  <c r="G32" i="4"/>
  <c r="I32" i="4"/>
  <c r="AA32" i="4" s="1"/>
  <c r="P31" i="7"/>
  <c r="O31" i="7"/>
  <c r="N32" i="7" s="1"/>
  <c r="AK31" i="7"/>
  <c r="AL31" i="7" s="1"/>
  <c r="AD33" i="7"/>
  <c r="AE33" i="7" s="1"/>
  <c r="G34" i="6" s="1"/>
  <c r="M33" i="7"/>
  <c r="AK29" i="4"/>
  <c r="AL29" i="4" s="1"/>
  <c r="O29" i="4"/>
  <c r="N30" i="4" s="1"/>
  <c r="AK30" i="4" s="1"/>
  <c r="AL30" i="4" s="1"/>
  <c r="P29" i="4"/>
  <c r="L33" i="4"/>
  <c r="AG33" i="4"/>
  <c r="AD31" i="4"/>
  <c r="AE31" i="4" s="1"/>
  <c r="Z32" i="4"/>
  <c r="F33" i="4"/>
  <c r="M31" i="4"/>
  <c r="Y31" i="4" s="1"/>
  <c r="Y33" i="7" l="1"/>
  <c r="F34" i="6"/>
  <c r="K20" i="6"/>
  <c r="G33" i="4"/>
  <c r="I33" i="4"/>
  <c r="P32" i="7"/>
  <c r="O32" i="7"/>
  <c r="N33" i="7" s="1"/>
  <c r="J34" i="6" s="1"/>
  <c r="AK32" i="7"/>
  <c r="AL32" i="7" s="1"/>
  <c r="O30" i="4"/>
  <c r="N31" i="4" s="1"/>
  <c r="O31" i="4" s="1"/>
  <c r="P30" i="4"/>
  <c r="AH33" i="4"/>
  <c r="AJ33" i="4" s="1"/>
  <c r="M32" i="4"/>
  <c r="AD32" i="4"/>
  <c r="AE32" i="4" s="1"/>
  <c r="Z33" i="4"/>
  <c r="Y32" i="4" l="1"/>
  <c r="P33" i="7"/>
  <c r="N34" i="6" s="1"/>
  <c r="O33" i="7"/>
  <c r="AK33" i="7"/>
  <c r="AL33" i="7" s="1"/>
  <c r="O34" i="6" s="1"/>
  <c r="P34" i="6" s="1"/>
  <c r="N32" i="4"/>
  <c r="P32" i="4" s="1"/>
  <c r="P31" i="4"/>
  <c r="AK31" i="4"/>
  <c r="AL31" i="4" s="1"/>
  <c r="AA33" i="4"/>
  <c r="AD33" i="4" s="1"/>
  <c r="AE33" i="4" s="1"/>
  <c r="M33" i="4"/>
  <c r="O32" i="4" l="1"/>
  <c r="N33" i="4" s="1"/>
  <c r="G20" i="6"/>
  <c r="AK32" i="4"/>
  <c r="AL32" i="4" s="1"/>
  <c r="Y33" i="4"/>
  <c r="F20" i="6"/>
  <c r="AK33" i="4" l="1"/>
  <c r="AL33" i="4" s="1"/>
  <c r="J20" i="6"/>
  <c r="P33" i="4"/>
  <c r="O33" i="4"/>
  <c r="O20" i="6" l="1"/>
  <c r="P20" i="6" s="1"/>
  <c r="N2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Zak Avery</author>
  </authors>
  <commentList>
    <comment ref="F11" authorId="0" shapeId="0" xr:uid="{85048B35-CAD8-4310-955E-0618250E418C}">
      <text>
        <r>
          <rPr>
            <b/>
            <sz val="9"/>
            <color indexed="81"/>
            <rFont val="Tahoma"/>
            <family val="2"/>
          </rPr>
          <t>Zak Avery:</t>
        </r>
        <r>
          <rPr>
            <sz val="9"/>
            <color indexed="81"/>
            <rFont val="Tahoma"/>
            <family val="2"/>
          </rPr>
          <t xml:space="preserve">
Annual cash-flow factoring in rental income and property expenses</t>
        </r>
      </text>
    </comment>
    <comment ref="G11" authorId="0" shapeId="0" xr:uid="{2C5A8DBB-217E-49BA-A6F5-95DB7B5A8B44}">
      <text>
        <r>
          <rPr>
            <b/>
            <sz val="9"/>
            <color indexed="81"/>
            <rFont val="Tahoma"/>
            <family val="2"/>
          </rPr>
          <t>Zak Avery:</t>
        </r>
        <r>
          <rPr>
            <sz val="9"/>
            <color indexed="81"/>
            <rFont val="Tahoma"/>
            <family val="2"/>
          </rPr>
          <t xml:space="preserve">
Very rough estimate of how your future borrowing capacity is affected by having this property / loan
</t>
        </r>
      </text>
    </comment>
    <comment ref="J11" authorId="0" shapeId="0" xr:uid="{35D1F35B-5AC9-4BF0-A33E-0F0EEEAC11C5}">
      <text>
        <r>
          <rPr>
            <b/>
            <sz val="9"/>
            <color indexed="81"/>
            <rFont val="Tahoma"/>
            <family val="2"/>
          </rPr>
          <t>Zak Avery:</t>
        </r>
        <r>
          <rPr>
            <sz val="9"/>
            <color indexed="81"/>
            <rFont val="Tahoma"/>
            <family val="2"/>
          </rPr>
          <t xml:space="preserve">
Running cash balance.  This factors in the annual income/expenses but also a return on the cash.  It also applies a negative return on negative cash balances to indicate the loss of investment opportunity</t>
        </r>
      </text>
    </comment>
    <comment ref="K11" authorId="0" shapeId="0" xr:uid="{F4F00FD8-6B20-42E8-B670-A57BC506B071}">
      <text>
        <r>
          <rPr>
            <b/>
            <sz val="9"/>
            <color indexed="81"/>
            <rFont val="Tahoma"/>
            <family val="2"/>
          </rPr>
          <t>Zak Avery:</t>
        </r>
        <r>
          <rPr>
            <sz val="9"/>
            <color indexed="81"/>
            <rFont val="Tahoma"/>
            <family val="2"/>
          </rPr>
          <t xml:space="preserve">
This is your equity available to draw out via a new loan i.e. if you brought the LVR up to 80%</t>
        </r>
      </text>
    </comment>
    <comment ref="N11" authorId="0" shapeId="0" xr:uid="{2D5A1CFC-C8E5-4157-8342-6E9D81EAF352}">
      <text>
        <r>
          <rPr>
            <b/>
            <sz val="9"/>
            <color indexed="81"/>
            <rFont val="Tahoma"/>
            <family val="2"/>
          </rPr>
          <t>Zak Avery:</t>
        </r>
        <r>
          <rPr>
            <sz val="9"/>
            <color indexed="81"/>
            <rFont val="Tahoma"/>
            <family val="2"/>
          </rPr>
          <t xml:space="preserve">
This is your current net wealth gain/loss.  Noting that it considers 100% of equity held and doesn't factor in CGT i.e. it's pretending you have NOT sold the property</t>
        </r>
      </text>
    </comment>
    <comment ref="O11" authorId="0" shapeId="0" xr:uid="{5584EE35-8638-4508-AC28-965A7718F775}">
      <text>
        <r>
          <rPr>
            <b/>
            <sz val="9"/>
            <color indexed="81"/>
            <rFont val="Tahoma"/>
            <family val="2"/>
          </rPr>
          <t>Zak Avery:</t>
        </r>
        <r>
          <rPr>
            <sz val="9"/>
            <color indexed="81"/>
            <rFont val="Tahoma"/>
            <family val="2"/>
          </rPr>
          <t xml:space="preserve">
This is how much cash you would have in the bank if you sold the property.  This factors in CGT at 45%</t>
        </r>
      </text>
    </comment>
    <comment ref="B12" authorId="0" shapeId="0" xr:uid="{80357CE6-446B-4B78-9AA4-A999B94F9297}">
      <text>
        <r>
          <rPr>
            <b/>
            <sz val="9"/>
            <color indexed="81"/>
            <rFont val="Tahoma"/>
            <family val="2"/>
          </rPr>
          <t>Zak Avery:</t>
        </r>
        <r>
          <rPr>
            <sz val="9"/>
            <color indexed="81"/>
            <rFont val="Tahoma"/>
            <family val="2"/>
          </rPr>
          <t xml:space="preserve">
25% of the purchase price is a fair rough estimate in most cases to apply a 20% deposit + Government fees &amp; Legals</t>
        </r>
      </text>
    </comment>
    <comment ref="P12" authorId="0" shapeId="0" xr:uid="{7EC1EE04-DDB6-479C-957E-F7A4E77704F0}">
      <text>
        <r>
          <rPr>
            <b/>
            <sz val="9"/>
            <color indexed="81"/>
            <rFont val="Tahoma"/>
            <family val="2"/>
          </rPr>
          <t>Zak Avery:</t>
        </r>
        <r>
          <rPr>
            <sz val="9"/>
            <color indexed="81"/>
            <rFont val="Tahoma"/>
            <family val="2"/>
          </rPr>
          <t xml:space="preserve">
This is probably the most important figure and used for my outputs.  This considers that you sell the property and pay any relevent CGT.  It also includes your cash balance to show how much you would have gained/lost over this period</t>
        </r>
      </text>
    </comment>
    <comment ref="B13" authorId="0" shapeId="0" xr:uid="{3D18C87A-4FE0-48FA-A3FE-453548DE400B}">
      <text>
        <r>
          <rPr>
            <b/>
            <sz val="9"/>
            <color indexed="81"/>
            <rFont val="Tahoma"/>
            <family val="2"/>
          </rPr>
          <t>Zak Avery:</t>
        </r>
        <r>
          <rPr>
            <sz val="9"/>
            <color indexed="81"/>
            <rFont val="Tahoma"/>
            <family val="2"/>
          </rPr>
          <t xml:space="preserve">
See resources tab if needed. Average long-term result seems to be 4.8% in regional areas and 5.8% in capital cities</t>
        </r>
      </text>
    </comment>
    <comment ref="B14" authorId="0" shapeId="0" xr:uid="{FAC3427F-FD64-4380-921E-CE5963E5E9C0}">
      <text>
        <r>
          <rPr>
            <b/>
            <sz val="9"/>
            <color indexed="81"/>
            <rFont val="Tahoma"/>
            <family val="2"/>
          </rPr>
          <t>Zak Avery:</t>
        </r>
        <r>
          <rPr>
            <sz val="9"/>
            <color indexed="81"/>
            <rFont val="Tahoma"/>
            <family val="2"/>
          </rPr>
          <t xml:space="preserve">
Yield at the time you purchase the property.</t>
        </r>
      </text>
    </comment>
    <comment ref="B15" authorId="0" shapeId="0" xr:uid="{0D7CFD3C-ABD8-4584-9F3E-40B4D1CA4970}">
      <text>
        <r>
          <rPr>
            <b/>
            <sz val="9"/>
            <color indexed="81"/>
            <rFont val="Tahoma"/>
            <family val="2"/>
          </rPr>
          <t>Zak Avery:</t>
        </r>
        <r>
          <rPr>
            <sz val="9"/>
            <color indexed="81"/>
            <rFont val="Tahoma"/>
            <family val="2"/>
          </rPr>
          <t xml:space="preserve">
Rental growth appears to historically grow at a rate lower than property prices, hence we grow it independently in this calculator.  The average appears to be around 2.5% - 3.5% however some figures indicate much higher.  See the resources tab.</t>
        </r>
      </text>
    </comment>
    <comment ref="B16" authorId="0" shapeId="0" xr:uid="{C6341836-63E1-4966-836D-461792D979EB}">
      <text>
        <r>
          <rPr>
            <b/>
            <sz val="9"/>
            <color indexed="81"/>
            <rFont val="Tahoma"/>
            <family val="2"/>
          </rPr>
          <t>Zak Avery:</t>
        </r>
        <r>
          <rPr>
            <sz val="9"/>
            <color indexed="81"/>
            <rFont val="Tahoma"/>
            <family val="2"/>
          </rPr>
          <t xml:space="preserve">
This isn't used currently but input as I'll need it in a future article/video comparing Trust/Company/Individual borrowers and the effect of land tax and negative gearing have on the outcome.</t>
        </r>
      </text>
    </comment>
    <comment ref="B17" authorId="0" shapeId="0" xr:uid="{BA871318-4D1F-46E1-9D5D-70E1AB34A1F0}">
      <text>
        <r>
          <rPr>
            <b/>
            <sz val="9"/>
            <color indexed="81"/>
            <rFont val="Tahoma"/>
            <family val="2"/>
          </rPr>
          <t>Zak Avery:</t>
        </r>
        <r>
          <rPr>
            <sz val="9"/>
            <color indexed="81"/>
            <rFont val="Tahoma"/>
            <family val="2"/>
          </rPr>
          <t xml:space="preserve">
This figure is hard to predict but I've included a flat $5k p.a. per property, and a scaling figure that scales with rental income.  A 15% scaling figure + $5k flat appears to seem reasonable</t>
        </r>
      </text>
    </comment>
    <comment ref="B19" authorId="0" shapeId="0" xr:uid="{A1A5F524-1828-4E23-836C-0B4EA267412B}">
      <text>
        <r>
          <rPr>
            <b/>
            <sz val="9"/>
            <color indexed="81"/>
            <rFont val="Tahoma"/>
            <family val="2"/>
          </rPr>
          <t>Zak Avery:</t>
        </r>
        <r>
          <rPr>
            <sz val="9"/>
            <color indexed="81"/>
            <rFont val="Tahoma"/>
            <family val="2"/>
          </rPr>
          <t xml:space="preserve">
Interest rates are historically all over the shop, making a long-term average hard to predict.  Use what you feel comfortable with!  Interest-only used for simplicity but this shouldn't change the overall trends/outcomes severely</t>
        </r>
      </text>
    </comment>
    <comment ref="B20" authorId="0" shapeId="0" xr:uid="{B9C64A51-F469-4259-9EE3-51154D8336FB}">
      <text>
        <r>
          <rPr>
            <b/>
            <sz val="9"/>
            <color indexed="81"/>
            <rFont val="Tahoma"/>
            <family val="2"/>
          </rPr>
          <t>Zak Avery:</t>
        </r>
        <r>
          <rPr>
            <sz val="9"/>
            <color indexed="81"/>
            <rFont val="Tahoma"/>
            <family val="2"/>
          </rPr>
          <t xml:space="preserve">
Whatever the expected ongoing tax rate of the individual is.  It's a 'blended' tax rate so you can average 2 people's tax rates if needed.  Or apply a mid-bracket tax rate if the bracket is likely to change over the period.</t>
        </r>
      </text>
    </comment>
    <comment ref="B21" authorId="0" shapeId="0" xr:uid="{6A3C52A6-AF91-489B-8781-4E98DA95E694}">
      <text>
        <r>
          <rPr>
            <b/>
            <sz val="9"/>
            <color indexed="81"/>
            <rFont val="Tahoma"/>
            <family val="2"/>
          </rPr>
          <t>Zak Avery:</t>
        </r>
        <r>
          <rPr>
            <sz val="9"/>
            <color indexed="81"/>
            <rFont val="Tahoma"/>
            <family val="2"/>
          </rPr>
          <t xml:space="preserve">
This is a weird part of the calculator.  We needed to quantify what surplus cash will do for you, hence we apply a 'return' on that surplus cash.  The return here (10%, is my default option) is applied to the cash balance and the blended tax rate applied.  For example: $10k surplus at the end of the year at a 37% tax bracket will add $6,300 on to the cash balance.  This compounds yearly with the tax being applied each year to the return.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tc={AA244362-FFB9-4848-922A-2205A0464E26}</author>
  </authors>
  <commentList>
    <comment ref="AE2" authorId="0" shapeId="0" xr:uid="{AA244362-FFB9-4848-922A-2205A0464E26}">
      <text>
        <t xml:space="preserve">[Threaded comment]
Your version of Excel allows you to read this threaded comment; however, any edits to it will get removed if the file is opened in a newer version of Excel. Learn more: https://go.microsoft.com/fwlink/?linkid=870924
Comment:
    Used $100k PAYG income.  4.5% yield and 80% LVR on next purchase.  Estimated formula from a few trials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tc={804483DE-D6C4-44F3-BD33-2F922E90AC54}</author>
  </authors>
  <commentList>
    <comment ref="AE2" authorId="0" shapeId="0" xr:uid="{804483DE-D6C4-44F3-BD33-2F922E90AC54}">
      <text>
        <t xml:space="preserve">[Threaded comment]
Your version of Excel allows you to read this threaded comment; however, any edits to it will get removed if the file is opened in a newer version of Excel. Learn more: https://go.microsoft.com/fwlink/?linkid=870924
Comment:
    Used $100k PAYG income.  4.5% yield and 80% LVR on next purchase.  Estimated formula from a few trials
</t>
      </text>
    </comment>
  </commentList>
</comments>
</file>

<file path=xl/sharedStrings.xml><?xml version="1.0" encoding="utf-8"?>
<sst xmlns="http://schemas.openxmlformats.org/spreadsheetml/2006/main" count="348" uniqueCount="109">
  <si>
    <t>Real Estate Value</t>
  </si>
  <si>
    <t>Capital Growth</t>
  </si>
  <si>
    <t>Blended tax rate</t>
  </si>
  <si>
    <t>Interest Rate (interest-only)</t>
  </si>
  <si>
    <t>Purchase Costs</t>
  </si>
  <si>
    <t>Year 0</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</si>
  <si>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</si>
  <si>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</si>
  <si>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</si>
  <si>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</si>
  <si>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</si>
  <si>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</si>
  <si>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</si>
  <si>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</si>
  <si>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</si>
  <si>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</si>
  <si>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</si>
  <si>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</si>
  <si>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</si>
  <si>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</si>
  <si>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</si>
  <si>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</si>
  <si>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</si>
  <si>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</si>
  <si>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</si>
  <si>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</si>
  <si>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Year 21</t>
  </si>
  <si>
    <t>Year 22</t>
  </si>
  <si>
    <t>Year 23</t>
  </si>
  <si>
    <t>Year 24</t>
  </si>
  <si>
    <t>Year 25</t>
  </si>
  <si>
    <t>Year 26</t>
  </si>
  <si>
    <t>Year 27</t>
  </si>
  <si>
    <t>Year 28</t>
  </si>
  <si>
    <t>Year 29</t>
  </si>
  <si>
    <t>Year 30</t>
  </si>
  <si>
    <t>Year</t>
  </si>
  <si>
    <t>Initial Loan</t>
  </si>
  <si>
    <t>Rental Income p.a.</t>
  </si>
  <si>
    <t>Expenses p.a.</t>
  </si>
  <si>
    <t>Interest p.a.</t>
  </si>
  <si>
    <t>Loan Balance</t>
  </si>
  <si>
    <t>Return on cash</t>
  </si>
  <si>
    <t>(Excluding Capital Expenses)</t>
  </si>
  <si>
    <t>Cash: In/out</t>
  </si>
  <si>
    <t>Cash balance</t>
  </si>
  <si>
    <t>ROI from Cash</t>
  </si>
  <si>
    <t>Total Net Gain</t>
  </si>
  <si>
    <t>Entry</t>
  </si>
  <si>
    <t>Sale value</t>
  </si>
  <si>
    <t>CGT (after discount)</t>
  </si>
  <si>
    <t>Loan balance</t>
  </si>
  <si>
    <t>Exit</t>
  </si>
  <si>
    <t>Cash in/out</t>
  </si>
  <si>
    <t>Bank's income</t>
  </si>
  <si>
    <t>Bank's Expenses</t>
  </si>
  <si>
    <t>Bank's Interest</t>
  </si>
  <si>
    <t>Bank's Cash in/out</t>
  </si>
  <si>
    <t>Capital City - average over 30 years</t>
  </si>
  <si>
    <t>Regional - average over 30 years</t>
  </si>
  <si>
    <t>https://www.corelogic.com.au/__data/assets/pdf_file/0015/12237/220829_CoreLogic_Pulse_30years_Finalv2.pdf</t>
  </si>
  <si>
    <t>End value</t>
  </si>
  <si>
    <t>Term</t>
  </si>
  <si>
    <t>Annual Rate (reverse compound)</t>
  </si>
  <si>
    <t>Sale proceeds</t>
  </si>
  <si>
    <t>Total Gain</t>
  </si>
  <si>
    <t>https://www.rba.gov.au/publications/rdp/2014/2014-06/appendix-a.html</t>
  </si>
  <si>
    <t>https://www.hartfordfunds.com/dam/en/docs/pub/whitepapers/WP106.pdf</t>
  </si>
  <si>
    <t>Starting Yield</t>
  </si>
  <si>
    <t>Rental Growth p.a.</t>
  </si>
  <si>
    <t>https://tradingeconomics.com/australia/rent-inflation</t>
  </si>
  <si>
    <t>2.50% - 3.50%</t>
  </si>
  <si>
    <t>Property expenses ($5k + x% of rental income)</t>
  </si>
  <si>
    <t>Current Yield</t>
  </si>
  <si>
    <t>Rental Growth p.a. - average over 23 years</t>
  </si>
  <si>
    <t>Rental Growth p.a. - average over 50 years</t>
  </si>
  <si>
    <t>Banks P&amp;I Repayments</t>
  </si>
  <si>
    <t>Affordability Change (est)</t>
  </si>
  <si>
    <t>Equity Available (80%)</t>
  </si>
  <si>
    <t>Individual 1</t>
  </si>
  <si>
    <t>Individual 2</t>
  </si>
  <si>
    <t>Cash In/Out</t>
  </si>
  <si>
    <t>Affordability delta</t>
  </si>
  <si>
    <t>Cash Balance</t>
  </si>
  <si>
    <t>Equity Available</t>
  </si>
  <si>
    <t xml:space="preserve">Total Net Gain </t>
  </si>
  <si>
    <t>Exit Sum</t>
  </si>
  <si>
    <t>Selling costs disregarded</t>
  </si>
  <si>
    <t>Reverse compounding calc</t>
  </si>
  <si>
    <t>Land Tax (Flat)</t>
  </si>
  <si>
    <t>Land Tax</t>
  </si>
  <si>
    <t>Exit Sum Calculations</t>
  </si>
  <si>
    <t>Affordability Calculations</t>
  </si>
  <si>
    <t>Key Calculations</t>
  </si>
  <si>
    <t>Cashflow Position</t>
  </si>
  <si>
    <t>Capital Position</t>
  </si>
  <si>
    <t>Wealth Position</t>
  </si>
  <si>
    <t>Initial Sum / Value</t>
  </si>
  <si>
    <t>Number of years</t>
  </si>
  <si>
    <t>Output</t>
  </si>
  <si>
    <t>Tax Rate (0% for Capital Growth)</t>
  </si>
  <si>
    <t>Annual compounding rate</t>
  </si>
  <si>
    <t>Simple Compounding Calculator (Compounded yearly)</t>
  </si>
  <si>
    <t>Total exit gain</t>
  </si>
  <si>
    <r>
      <t>Affordability Calculations</t>
    </r>
    <r>
      <rPr>
        <sz val="11"/>
        <color rgb="FFFF0000"/>
        <rFont val="Aptos Narrow"/>
        <family val="2"/>
        <scheme val="minor"/>
      </rPr>
      <t xml:space="preserve"> (Note: not particularly accurate but give a rough indication of trends)</t>
    </r>
  </si>
  <si>
    <t>Link to article</t>
  </si>
  <si>
    <t>Real Estate Purchase Price</t>
  </si>
  <si>
    <r>
      <t xml:space="preserve">Created by </t>
    </r>
    <r>
      <rPr>
        <b/>
        <sz val="10"/>
        <color theme="1"/>
        <rFont val="Aptos Narrow"/>
        <family val="2"/>
        <scheme val="minor"/>
      </rPr>
      <t>Blue Fox Finance</t>
    </r>
    <r>
      <rPr>
        <sz val="10"/>
        <color theme="1"/>
        <rFont val="Aptos Narrow"/>
        <family val="2"/>
        <scheme val="minor"/>
      </rPr>
      <t xml:space="preserve"> 06/01/2025 as a free resource to assist people in calculating the benefits of yield vs capital growth.
Please read the notes (hover over the little red arrows in the boxes) to better understand what everything is doing.
Feel free to play around and edit whatever you want to make something that you feel more comfortable with.  The other tabs are not user friendly but you should be able to follow it if you're proficient in excel.
If you spend the time to upgrade the calculator, please feel free to email your new version to zak@bluefoxfinance.com.au - if it's user friendly and appears to work correctly, I'd be happy to upload it on the website along side this one for other people to use freely.  If you'd like credit, please include notes at the top of your calculator (much like the note you're reading right now!).
</t>
    </r>
    <r>
      <rPr>
        <sz val="10"/>
        <color rgb="FFFF0000"/>
        <rFont val="Aptos Narrow"/>
        <family val="2"/>
        <scheme val="minor"/>
      </rPr>
      <t>Important Note:</t>
    </r>
    <r>
      <rPr>
        <sz val="10"/>
        <color theme="1"/>
        <rFont val="Aptos Narrow"/>
        <family val="2"/>
        <scheme val="minor"/>
      </rPr>
      <t xml:space="preserve"> Blue Fox Finance makes no ascertation that the information or calculations herein are accurate - please use at your own risk and let me know of any major errors found.
Please </t>
    </r>
    <r>
      <rPr>
        <b/>
        <sz val="10"/>
        <color theme="1"/>
        <rFont val="Aptos Narrow"/>
        <family val="2"/>
        <scheme val="minor"/>
      </rPr>
      <t xml:space="preserve">DO NOT </t>
    </r>
    <r>
      <rPr>
        <sz val="10"/>
        <color theme="1"/>
        <rFont val="Aptos Narrow"/>
        <family val="2"/>
        <scheme val="minor"/>
      </rPr>
      <t xml:space="preserve">email me just to ask how to use this calculator.  I apologise if things aren't clear but I don't get time to deal with enquiries of that type unless you're an existing customer - thanks for understanding.  Feedback, on the other hand, is welcome.
And of course, if you're looking for a Mortgage Broker, please do consider sending us an enquiry.  Full details on the website: https://bluefoxfinance.com.au  </t>
    </r>
  </si>
  <si>
    <t>The below is a copy of the above calculator, provided simply so you can more easily compare two scenarios side-by-side.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</si>
</sst>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11" x14ac:knownFonts="1">
    <font>
      <sz val="11"/>
      <color theme="1"/>
      <name val="Aptos Narrow"/>
      <family val="2"/>
      <scheme val="minor"/>
    </font>
    <font>
      <sz val="11"/>
      <color theme="1"/>
      <name val="Aptos Narrow"/>
      <family val="2"/>
      <scheme val="minor"/>
    </font>
    <font>
      <b/>
      <sz val="11"/>
      <color theme="1"/>
      <name val="Aptos Narrow"/>
      <family val="2"/>
      <scheme val="minor"/>
    </font>
    <font>
      <sz val="9"/>
      <color indexed="81"/>
      <name val="Tahoma"/>
      <family val="2"/>
    </font>
    <font>
      <sz val="11"/>
      <name val="Aptos Narrow"/>
      <family val="2"/>
      <scheme val="minor"/>
    </font>
    <font>
      <b/>
      <sz val="9"/>
      <color indexed="81"/>
      <name val="Tahoma"/>
      <family val="2"/>
    </font>
    <font>
      <u/>
      <sz val="11"/>
      <color theme="10"/>
      <name val="Aptos Narrow"/>
      <family val="2"/>
      <scheme val="minor"/>
    </font>
    <font>
      <sz val="11"/>
      <color rgb="FFFF0000"/>
      <name val="Aptos Narrow"/>
      <family val="2"/>
      <scheme val="minor"/>
    </font>
    <font>
      <sz val="10"/>
      <color theme="1"/>
      <name val="Aptos Narrow"/>
      <family val="2"/>
      <scheme val="minor"/>
    </font>
    <font>
      <b/>
      <sz val="10"/>
      <color theme="1"/>
      <name val="Aptos Narrow"/>
      <family val="2"/>
      <scheme val="minor"/>
    </font>
    <font>
      <sz val="10"/>
      <color rgb="FFFF0000"/>
      <name val="Aptos Narrow"/>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3" tint="0.89999084444715716"/>
        <bgColor indexed="64"/>
      </patternFill>
    </fill>
    <fill>
      <patternFill patternType="lightUp"/>
    </fill>
    <fill>
      <patternFill patternType="solid">
        <fgColor theme="8" tint="0.79998168889431442"/>
        <bgColor indexed="64"/>
      </patternFill>
    </fill>
    <fill>
      <patternFill patternType="solid">
        <fgColor rgb="FFFFFF00"/>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53">
    <xf numFmtId="0" fontId="0" fillId="0" borderId="0" xfId="0"/>
    <xf numFmtId="44" fontId="0" fillId="0" borderId="0" xfId="1" applyFont="1"/>
    <xf numFmtId="10" fontId="0" fillId="0" borderId="0" xfId="2" applyNumberFormat="1" applyFont="1"/>
    <xf numFmtId="44" fontId="0" fillId="0" borderId="0" xfId="0" applyNumberFormat="1"/>
    <xf numFmtId="0" fontId="2" fillId="2" borderId="0" xfId="0" applyFont="1" applyFill="1"/>
    <xf numFmtId="0" fontId="2" fillId="2" borderId="0" xfId="0" applyFont="1" applyFill="1" applyAlignment="1">
      <alignment horizontal="center" vertical="center"/>
    </xf>
    <xf numFmtId="44" fontId="0" fillId="0" borderId="0" xfId="0" applyNumberFormat="1" applyAlignment="1">
      <alignment horizontal="center" vertical="center"/>
    </xf>
    <xf numFmtId="44" fontId="0" fillId="0" borderId="0" xfId="1" applyFont="1" applyAlignment="1">
      <alignment horizontal="center" vertical="center"/>
    </xf>
    <xf numFmtId="0" fontId="0" fillId="0" borderId="0" xfId="0" applyAlignment="1">
      <alignment horizontal="center"/>
    </xf>
    <xf numFmtId="8" fontId="0" fillId="0" borderId="0" xfId="0" applyNumberFormat="1"/>
    <xf numFmtId="0" fontId="4" fillId="6" borderId="0" xfId="0" applyFont="1" applyFill="1"/>
    <xf numFmtId="0" fontId="4" fillId="6" borderId="0" xfId="0" applyFont="1" applyFill="1" applyAlignment="1">
      <alignment horizontal="right"/>
    </xf>
    <xf numFmtId="10" fontId="4" fillId="6" borderId="0" xfId="0" applyNumberFormat="1" applyFont="1" applyFill="1"/>
    <xf numFmtId="0" fontId="0" fillId="7" borderId="0" xfId="0" applyFill="1"/>
    <xf numFmtId="44" fontId="0" fillId="7" borderId="0" xfId="1" applyFont="1" applyFill="1"/>
    <xf numFmtId="44" fontId="0" fillId="0" borderId="0" xfId="2" applyNumberFormat="1" applyFont="1"/>
    <xf numFmtId="10" fontId="0" fillId="7" borderId="0" xfId="1" applyNumberFormat="1" applyFont="1" applyFill="1"/>
    <xf numFmtId="0" fontId="2" fillId="0" borderId="0" xfId="0" applyFont="1"/>
    <xf numFmtId="44" fontId="0" fillId="0" borderId="0" xfId="1" applyFont="1" applyFill="1"/>
    <xf numFmtId="10" fontId="0" fillId="0" borderId="0" xfId="2" applyNumberFormat="1" applyFont="1" applyFill="1"/>
    <xf numFmtId="0" fontId="0" fillId="4" borderId="1" xfId="0" applyFill="1" applyBorder="1"/>
    <xf numFmtId="44" fontId="0" fillId="0" borderId="1" xfId="1" applyFont="1" applyBorder="1"/>
    <xf numFmtId="44" fontId="0" fillId="5" borderId="1" xfId="1" applyFont="1" applyFill="1" applyBorder="1"/>
    <xf numFmtId="10" fontId="0" fillId="0" borderId="1" xfId="2" applyNumberFormat="1" applyFont="1" applyBorder="1"/>
    <xf numFmtId="10" fontId="0" fillId="5" borderId="1" xfId="2" applyNumberFormat="1" applyFont="1" applyFill="1" applyBorder="1"/>
    <xf numFmtId="0" fontId="0" fillId="0" borderId="1" xfId="0" applyBorder="1"/>
    <xf numFmtId="44" fontId="0" fillId="0" borderId="1" xfId="0" applyNumberFormat="1" applyBorder="1"/>
    <xf numFmtId="0" fontId="0" fillId="0" borderId="2" xfId="0" applyBorder="1"/>
    <xf numFmtId="44" fontId="0" fillId="6" borderId="1" xfId="0" applyNumberFormat="1" applyFill="1" applyBorder="1"/>
    <xf numFmtId="0" fontId="2" fillId="0" borderId="1" xfId="0" applyFont="1" applyBorder="1"/>
    <xf numFmtId="0" fontId="2" fillId="6" borderId="1" xfId="0" applyFont="1" applyFill="1" applyBorder="1"/>
    <xf numFmtId="44" fontId="0" fillId="6" borderId="1" xfId="1" applyFont="1" applyFill="1" applyBorder="1"/>
    <xf numFmtId="10" fontId="0" fillId="8" borderId="1" xfId="2" applyNumberFormat="1" applyFont="1" applyFill="1" applyBorder="1"/>
    <xf numFmtId="0" fontId="6" fillId="0" borderId="0" xfId="3"/>
    <xf numFmtId="0" fontId="0" fillId="0" borderId="3" xfId="0" applyBorder="1"/>
    <xf numFmtId="0" fontId="2" fillId="0" borderId="3" xfId="0" applyFont="1" applyBorder="1"/>
    <xf numFmtId="0" fontId="2" fillId="3" borderId="1"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xf numFmtId="0" fontId="0" fillId="0" borderId="0" xfId="0" applyAlignment="1">
      <alignment horizontal="center"/>
    </xf>
    <xf numFmtId="0" fontId="0" fillId="6" borderId="0" xfId="0" applyFill="1" applyAlignment="1">
      <alignment horizontal="center"/>
    </xf>
    <xf numFmtId="0" fontId="0" fillId="9" borderId="2" xfId="0" applyFill="1" applyBorder="1"/>
    <xf numFmtId="0" fontId="2" fillId="0" borderId="6" xfId="0" applyFont="1" applyBorder="1"/>
    <xf numFmtId="44" fontId="0" fillId="0" borderId="6" xfId="0" applyNumberFormat="1" applyBorder="1"/>
    <xf numFmtId="44" fontId="0" fillId="6" borderId="6" xfId="0" applyNumberFormat="1" applyFill="1" applyBorder="1"/>
    <xf numFmtId="0" fontId="2" fillId="0" borderId="4" xfId="0" applyFont="1" applyBorder="1"/>
    <xf numFmtId="0" fontId="2" fillId="3" borderId="0" xfId="0" applyFont="1" applyFill="1" applyBorder="1" applyAlignment="1">
      <alignment horizontal="center"/>
    </xf>
    <xf numFmtId="0" fontId="2" fillId="3" borderId="7" xfId="0" applyFont="1" applyFill="1" applyBorder="1" applyAlignment="1">
      <alignment horizontal="center"/>
    </xf>
    <xf numFmtId="0" fontId="2" fillId="9" borderId="8" xfId="0" applyFont="1" applyFill="1" applyBorder="1"/>
    <xf numFmtId="44" fontId="2" fillId="10" borderId="9" xfId="0" applyNumberFormat="1" applyFont="1" applyFill="1" applyBorder="1"/>
    <xf numFmtId="44" fontId="2" fillId="9" borderId="9" xfId="0" applyNumberFormat="1" applyFont="1" applyFill="1" applyBorder="1"/>
    <xf numFmtId="44" fontId="2" fillId="9" borderId="10" xfId="0" applyNumberFormat="1" applyFont="1" applyFill="1" applyBorder="1"/>
    <xf numFmtId="0" fontId="8" fillId="0" borderId="0" xfId="0" applyFont="1" applyAlignment="1">
      <alignment horizontal="left" vertical="top" wrapText="1"/>
    </xf>
  </cellXfs>
  <cellStyles count="4">
    <cellStyle name="Currency" xfId="1" builtinId="4"/>
    <cellStyle name="Hyperlink" xfId="3" builtinId="8"/>
    <cellStyle name="Normal" xfId="0" builtinId="0"/>
    <cellStyle name="Percent" xfId="2" builtinId="5"/>
  </cellStyles>
  <dxfs count="1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Net Gain (before sell-down)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cked"/>
        <c:varyColors val="0"/>
        <c:ser>
          <c:idx val="0"/>
          <c:order val="0"/>
          <c:spPr>
            <a:ln w="28575" cap="rnd">
              <a:solidFill>
                <a:schemeClr val="accent1"/>
              </a:solidFill>
              <a:round/>
            </a:ln>
            <a:effectLst/>
          </c:spPr>
          <c:marker>
            <c:symbol val="none"/>
          </c:marker>
          <c:val>
            <c:numRef>
              <c:f>'Individual 1'!$P$3:$P$33</c:f>
              <c:numCache>
                <c:formatCode>_("$"* #,##0.00_);_("$"* \(#,##0.00\);_("$"* "-"??_);_(@_)</c:formatCode>
                <c:ptCount val="31"/>
                <c:pt idx="0">
                  <c:v>-25000</c:v>
                </c:pt>
                <c:pt idx="1">
                  <c:v>-5877.6124999999884</c:v>
                </c:pt>
                <c:pt idx="2">
                  <c:v>14594.057037499966</c:v>
                </c:pt>
                <c:pt idx="3">
                  <c:v>36500.290529612452</c:v>
                </c:pt>
                <c:pt idx="4">
                  <c:v>59931.51548869058</c:v>
                </c:pt>
                <c:pt idx="5">
                  <c:v>84983.608722022036</c:v>
                </c:pt>
                <c:pt idx="6">
                  <c:v>111758.21775826497</c:v>
                </c:pt>
                <c:pt idx="7">
                  <c:v>140363.10102927533</c:v>
                </c:pt>
                <c:pt idx="8">
                  <c:v>170912.48789547093</c:v>
                </c:pt>
                <c:pt idx="9">
                  <c:v>203527.45966580964</c:v>
                </c:pt>
                <c:pt idx="10">
                  <c:v>238336.3528300185</c:v>
                </c:pt>
                <c:pt idx="11">
                  <c:v>275475.18579111958</c:v>
                </c:pt>
                <c:pt idx="12">
                  <c:v>315088.11046076438</c:v>
                </c:pt>
                <c:pt idx="13">
                  <c:v>357327.8901586514</c:v>
                </c:pt>
                <c:pt idx="14">
                  <c:v>402356.40534061787</c:v>
                </c:pt>
                <c:pt idx="15">
                  <c:v>450345.18876810931</c:v>
                </c:pt>
                <c:pt idx="16">
                  <c:v>501475.99182493368</c:v>
                </c:pt>
                <c:pt idx="17">
                  <c:v>555941.38378578774</c:v>
                </c:pt>
                <c:pt idx="18">
                  <c:v>613945.38594530709</c:v>
                </c:pt>
                <c:pt idx="19">
                  <c:v>675704.14262667089</c:v>
                </c:pt>
                <c:pt idx="20">
                  <c:v>741446.63120543817</c:v>
                </c:pt>
                <c:pt idx="21">
                  <c:v>811415.4134076573</c:v>
                </c:pt>
                <c:pt idx="22">
                  <c:v>885867.43027177686</c:v>
                </c:pt>
                <c:pt idx="23">
                  <c:v>965074.84330189507</c:v>
                </c:pt>
                <c:pt idx="24">
                  <c:v>1049325.9244858576</c:v>
                </c:pt>
                <c:pt idx="25">
                  <c:v>1138925.9980060898</c:v>
                </c:pt>
                <c:pt idx="26">
                  <c:v>1234198.4366343471</c:v>
                </c:pt>
                <c:pt idx="27">
                  <c:v>1335485.7159742622</c:v>
                </c:pt>
                <c:pt idx="28">
                  <c:v>1443150.5298982281</c:v>
                </c:pt>
                <c:pt idx="29">
                  <c:v>1557576.9707183491</c:v>
                </c:pt>
                <c:pt idx="30">
                  <c:v>1679171.7778355069</c:v>
                </c:pt>
              </c:numCache>
            </c:numRef>
          </c:val>
          <c:smooth val="0"/>
          <c:extLst>
            <c:ext xmlns:c16="http://schemas.microsoft.com/office/drawing/2014/chart" uri="{C3380CC4-5D6E-409C-BE32-E72D297353CC}">
              <c16:uniqueId val="{00000000-7446-44CC-AF10-75A0EEB6A874}"/>
            </c:ext>
          </c:extLst>
        </c:ser>
        <c:dLbls>
          <c:showLegendKey val="0"/>
          <c:showVal val="0"/>
          <c:showCatName val="0"/>
          <c:showSerName val="0"/>
          <c:showPercent val="0"/>
          <c:showBubbleSize val="0"/>
        </c:dLbls>
        <c:smooth val="0"/>
        <c:axId val="1960843520"/>
        <c:axId val="1960841600"/>
      </c:lineChart>
      <c:catAx>
        <c:axId val="196084352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0841600"/>
        <c:crosses val="autoZero"/>
        <c:auto val="1"/>
        <c:lblAlgn val="ctr"/>
        <c:lblOffset val="100"/>
        <c:noMultiLvlLbl val="0"/>
      </c:catAx>
      <c:valAx>
        <c:axId val="196084160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0843520"/>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Net Gain (before sell-down)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cked"/>
        <c:varyColors val="0"/>
        <c:ser>
          <c:idx val="0"/>
          <c:order val="0"/>
          <c:spPr>
            <a:ln w="28575" cap="rnd">
              <a:solidFill>
                <a:schemeClr val="accent1"/>
              </a:solidFill>
              <a:round/>
            </a:ln>
            <a:effectLst/>
          </c:spPr>
          <c:marker>
            <c:symbol val="none"/>
          </c:marker>
          <c:val>
            <c:numRef>
              <c:f>'Individual 2'!$P$3:$P$33</c:f>
              <c:numCache>
                <c:formatCode>_("$"* #,##0.00_);_("$"* \(#,##0.00\);_("$"* "-"??_);_(@_)</c:formatCode>
                <c:ptCount val="31"/>
                <c:pt idx="0">
                  <c:v>-25000</c:v>
                </c:pt>
                <c:pt idx="1">
                  <c:v>-5361.9625000000233</c:v>
                </c:pt>
                <c:pt idx="2">
                  <c:v>15608.312487500021</c:v>
                </c:pt>
                <c:pt idx="3">
                  <c:v>37991.127157962415</c:v>
                </c:pt>
                <c:pt idx="4">
                  <c:v>61871.422842176631</c:v>
                </c:pt>
                <c:pt idx="5">
                  <c:v>87339.044744774117</c:v>
                </c:pt>
                <c:pt idx="6">
                  <c:v>114489.02181882528</c:v>
                </c:pt>
                <c:pt idx="7">
                  <c:v>143421.8626494162</c:v>
                </c:pt>
                <c:pt idx="8">
                  <c:v>174243.8682700299</c:v>
                </c:pt>
                <c:pt idx="9">
                  <c:v>207067.46288948122</c:v>
                </c:pt>
                <c:pt idx="10">
                  <c:v>242011.54356427246</c:v>
                </c:pt>
                <c:pt idx="11">
                  <c:v>279201.8499117241</c:v>
                </c:pt>
                <c:pt idx="12">
                  <c:v>318771.35502330679</c:v>
                </c:pt>
                <c:pt idx="13">
                  <c:v>360860.67880546371</c:v>
                </c:pt>
                <c:pt idx="14">
                  <c:v>405618.5250470906</c:v>
                </c:pt>
                <c:pt idx="15">
                  <c:v>453202.14358898881</c:v>
                </c:pt>
                <c:pt idx="16">
                  <c:v>503777.81905125838</c:v>
                </c:pt>
                <c:pt idx="17">
                  <c:v>557521.38766004867</c:v>
                </c:pt>
                <c:pt idx="18">
                  <c:v>614618.78380559827</c:v>
                </c:pt>
                <c:pt idx="19">
                  <c:v>675266.61805939465</c:v>
                </c:pt>
                <c:pt idx="20">
                  <c:v>739672.78847987973</c:v>
                </c:pt>
                <c:pt idx="21">
                  <c:v>808057.12714377535</c:v>
                </c:pt>
                <c:pt idx="22">
                  <c:v>880652.08395414078</c:v>
                </c:pt>
                <c:pt idx="23">
                  <c:v>957703.44989712862</c:v>
                </c:pt>
                <c:pt idx="24">
                  <c:v>1039471.1220474401</c:v>
                </c:pt>
                <c:pt idx="25">
                  <c:v>1126229.9127581627</c:v>
                </c:pt>
                <c:pt idx="26">
                  <c:v>1218270.4056144457</c:v>
                </c:pt>
                <c:pt idx="27">
                  <c:v>1315899.8608828294</c:v>
                </c:pt>
                <c:pt idx="28">
                  <c:v>1419443.1733494967</c:v>
                </c:pt>
                <c:pt idx="29">
                  <c:v>1529243.8856118273</c:v>
                </c:pt>
                <c:pt idx="30">
                  <c:v>1645665.2600689763</c:v>
                </c:pt>
              </c:numCache>
            </c:numRef>
          </c:val>
          <c:smooth val="0"/>
          <c:extLst>
            <c:ext xmlns:c16="http://schemas.microsoft.com/office/drawing/2014/chart" uri="{C3380CC4-5D6E-409C-BE32-E72D297353CC}">
              <c16:uniqueId val="{00000000-1A53-4947-AAF3-1B226289B636}"/>
            </c:ext>
          </c:extLst>
        </c:ser>
        <c:dLbls>
          <c:showLegendKey val="0"/>
          <c:showVal val="0"/>
          <c:showCatName val="0"/>
          <c:showSerName val="0"/>
          <c:showPercent val="0"/>
          <c:showBubbleSize val="0"/>
        </c:dLbls>
        <c:smooth val="0"/>
        <c:axId val="1960843520"/>
        <c:axId val="1960841600"/>
      </c:lineChart>
      <c:catAx>
        <c:axId val="196084352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0841600"/>
        <c:crosses val="autoZero"/>
        <c:auto val="1"/>
        <c:lblAlgn val="ctr"/>
        <c:lblOffset val="100"/>
        <c:noMultiLvlLbl val="0"/>
      </c:catAx>
      <c:valAx>
        <c:axId val="196084160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0843520"/>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47626</xdr:colOff>
      <xdr:row>0</xdr:row>
      <xdr:rowOff>85725</xdr:rowOff>
    </xdr:from>
    <xdr:to>
      <xdr:col>1</xdr:col>
      <xdr:colOff>1133476</xdr:colOff>
      <xdr:row>7</xdr:row>
      <xdr:rowOff>166451</xdr:rowOff>
    </xdr:to>
    <xdr:pic>
      <xdr:nvPicPr>
        <xdr:cNvPr id="3" name="Picture 2">
          <a:extLst>
            <a:ext uri="{FF2B5EF4-FFF2-40B4-BE49-F238E27FC236}">
              <a16:creationId xmlns:a16="http://schemas.microsoft.com/office/drawing/2014/main" id="{34CCBB76-9DDF-FC0F-C997-EB9E5D32ED03}"/>
            </a:ext>
          </a:extLst>
        </xdr:cNvPr>
        <xdr:cNvPicPr>
          <a:picLocks noChangeAspect="1"/>
        </xdr:cNvPicPr>
      </xdr:nvPicPr>
      <xdr:blipFill>
        <a:blip xmlns:r="http://schemas.openxmlformats.org/officeDocument/2006/relationships" r:embed="rId1"/>
        <a:stretch>
          <a:fillRect/>
        </a:stretch>
      </xdr:blipFill>
      <xdr:spPr>
        <a:xfrm>
          <a:off x="657226" y="85725"/>
          <a:ext cx="1085850" cy="14428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257175</xdr:colOff>
      <xdr:row>12</xdr:row>
      <xdr:rowOff>14287</xdr:rowOff>
    </xdr:from>
    <xdr:to>
      <xdr:col>22</xdr:col>
      <xdr:colOff>190500</xdr:colOff>
      <xdr:row>26</xdr:row>
      <xdr:rowOff>90487</xdr:rowOff>
    </xdr:to>
    <xdr:graphicFrame macro="">
      <xdr:nvGraphicFramePr>
        <xdr:cNvPr id="2" name="Chart 1">
          <a:extLst>
            <a:ext uri="{FF2B5EF4-FFF2-40B4-BE49-F238E27FC236}">
              <a16:creationId xmlns:a16="http://schemas.microsoft.com/office/drawing/2014/main" id="{BD3E62E8-9EBF-4115-90A5-20D911451A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257175</xdr:colOff>
      <xdr:row>12</xdr:row>
      <xdr:rowOff>14287</xdr:rowOff>
    </xdr:from>
    <xdr:to>
      <xdr:col>22</xdr:col>
      <xdr:colOff>190500</xdr:colOff>
      <xdr:row>26</xdr:row>
      <xdr:rowOff>90487</xdr:rowOff>
    </xdr:to>
    <xdr:graphicFrame macro="">
      <xdr:nvGraphicFramePr>
        <xdr:cNvPr id="2" name="Chart 1">
          <a:extLst>
            <a:ext uri="{FF2B5EF4-FFF2-40B4-BE49-F238E27FC236}">
              <a16:creationId xmlns:a16="http://schemas.microsoft.com/office/drawing/2014/main" id="{F5B2F5F4-C8B9-4A99-9897-C04272CA46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9</xdr:col>
      <xdr:colOff>533900</xdr:colOff>
      <xdr:row>30</xdr:row>
      <xdr:rowOff>67455</xdr:rowOff>
    </xdr:to>
    <xdr:pic>
      <xdr:nvPicPr>
        <xdr:cNvPr id="2" name="Picture 1">
          <a:extLst>
            <a:ext uri="{FF2B5EF4-FFF2-40B4-BE49-F238E27FC236}">
              <a16:creationId xmlns:a16="http://schemas.microsoft.com/office/drawing/2014/main" id="{755A084A-8C5C-4484-D48F-B74E25C15A3F}"/>
            </a:ext>
          </a:extLst>
        </xdr:cNvPr>
        <xdr:cNvPicPr>
          <a:picLocks noChangeAspect="1"/>
        </xdr:cNvPicPr>
      </xdr:nvPicPr>
      <xdr:blipFill>
        <a:blip xmlns:r="http://schemas.openxmlformats.org/officeDocument/2006/relationships" r:embed="rId1"/>
        <a:stretch>
          <a:fillRect/>
        </a:stretch>
      </xdr:blipFill>
      <xdr:spPr>
        <a:xfrm>
          <a:off x="2438400" y="190500"/>
          <a:ext cx="3581900" cy="5591955"/>
        </a:xfrm>
        <a:prstGeom prst="rect">
          <a:avLst/>
        </a:prstGeom>
      </xdr:spPr>
    </xdr:pic>
    <xdr:clientData/>
  </xdr:twoCellAnchor>
  <xdr:twoCellAnchor editAs="oneCell">
    <xdr:from>
      <xdr:col>13</xdr:col>
      <xdr:colOff>0</xdr:colOff>
      <xdr:row>2</xdr:row>
      <xdr:rowOff>0</xdr:rowOff>
    </xdr:from>
    <xdr:to>
      <xdr:col>23</xdr:col>
      <xdr:colOff>239009</xdr:colOff>
      <xdr:row>25</xdr:row>
      <xdr:rowOff>19664</xdr:rowOff>
    </xdr:to>
    <xdr:pic>
      <xdr:nvPicPr>
        <xdr:cNvPr id="3" name="Picture 2">
          <a:extLst>
            <a:ext uri="{FF2B5EF4-FFF2-40B4-BE49-F238E27FC236}">
              <a16:creationId xmlns:a16="http://schemas.microsoft.com/office/drawing/2014/main" id="{4C0C6C5A-EB09-1DB1-BEE4-9B25A3014964}"/>
            </a:ext>
          </a:extLst>
        </xdr:cNvPr>
        <xdr:cNvPicPr>
          <a:picLocks noChangeAspect="1"/>
        </xdr:cNvPicPr>
      </xdr:nvPicPr>
      <xdr:blipFill>
        <a:blip xmlns:r="http://schemas.openxmlformats.org/officeDocument/2006/relationships" r:embed="rId2"/>
        <a:stretch>
          <a:fillRect/>
        </a:stretch>
      </xdr:blipFill>
      <xdr:spPr>
        <a:xfrm>
          <a:off x="7924800" y="381000"/>
          <a:ext cx="6335009" cy="4401164"/>
        </a:xfrm>
        <a:prstGeom prst="rect">
          <a:avLst/>
        </a:prstGeom>
      </xdr:spPr>
    </xdr:pic>
    <xdr:clientData/>
  </xdr:twoCellAnchor>
  <xdr:twoCellAnchor editAs="oneCell">
    <xdr:from>
      <xdr:col>4</xdr:col>
      <xdr:colOff>0</xdr:colOff>
      <xdr:row>40</xdr:row>
      <xdr:rowOff>0</xdr:rowOff>
    </xdr:from>
    <xdr:to>
      <xdr:col>11</xdr:col>
      <xdr:colOff>114912</xdr:colOff>
      <xdr:row>45</xdr:row>
      <xdr:rowOff>133502</xdr:rowOff>
    </xdr:to>
    <xdr:pic>
      <xdr:nvPicPr>
        <xdr:cNvPr id="4" name="Picture 3">
          <a:extLst>
            <a:ext uri="{FF2B5EF4-FFF2-40B4-BE49-F238E27FC236}">
              <a16:creationId xmlns:a16="http://schemas.microsoft.com/office/drawing/2014/main" id="{46F05805-6AAD-3843-0C78-0A4233C03C60}"/>
            </a:ext>
          </a:extLst>
        </xdr:cNvPr>
        <xdr:cNvPicPr>
          <a:picLocks noChangeAspect="1"/>
        </xdr:cNvPicPr>
      </xdr:nvPicPr>
      <xdr:blipFill>
        <a:blip xmlns:r="http://schemas.openxmlformats.org/officeDocument/2006/relationships" r:embed="rId3"/>
        <a:stretch>
          <a:fillRect/>
        </a:stretch>
      </xdr:blipFill>
      <xdr:spPr>
        <a:xfrm>
          <a:off x="2438400" y="7620000"/>
          <a:ext cx="4382112" cy="1086002"/>
        </a:xfrm>
        <a:prstGeom prst="rect">
          <a:avLst/>
        </a:prstGeom>
      </xdr:spPr>
    </xdr:pic>
    <xdr:clientData/>
  </xdr:twoCellAnchor>
  <xdr:twoCellAnchor editAs="oneCell">
    <xdr:from>
      <xdr:col>16</xdr:col>
      <xdr:colOff>136810</xdr:colOff>
      <xdr:row>32</xdr:row>
      <xdr:rowOff>95250</xdr:rowOff>
    </xdr:from>
    <xdr:to>
      <xdr:col>25</xdr:col>
      <xdr:colOff>305959</xdr:colOff>
      <xdr:row>51</xdr:row>
      <xdr:rowOff>153154</xdr:rowOff>
    </xdr:to>
    <xdr:pic>
      <xdr:nvPicPr>
        <xdr:cNvPr id="6" name="Picture 5">
          <a:extLst>
            <a:ext uri="{FF2B5EF4-FFF2-40B4-BE49-F238E27FC236}">
              <a16:creationId xmlns:a16="http://schemas.microsoft.com/office/drawing/2014/main" id="{CFA321F1-1A3C-D3CE-7027-8E4E6DD73F5D}"/>
            </a:ext>
          </a:extLst>
        </xdr:cNvPr>
        <xdr:cNvPicPr>
          <a:picLocks noChangeAspect="1"/>
        </xdr:cNvPicPr>
      </xdr:nvPicPr>
      <xdr:blipFill>
        <a:blip xmlns:r="http://schemas.openxmlformats.org/officeDocument/2006/relationships" r:embed="rId4"/>
        <a:stretch>
          <a:fillRect/>
        </a:stretch>
      </xdr:blipFill>
      <xdr:spPr>
        <a:xfrm>
          <a:off x="9890410" y="6191250"/>
          <a:ext cx="5655549" cy="3677404"/>
        </a:xfrm>
        <a:prstGeom prst="rect">
          <a:avLst/>
        </a:prstGeom>
      </xdr:spPr>
    </xdr:pic>
    <xdr:clientData/>
  </xdr:twoCellAnchor>
  <xdr:twoCellAnchor editAs="oneCell">
    <xdr:from>
      <xdr:col>25</xdr:col>
      <xdr:colOff>466725</xdr:colOff>
      <xdr:row>31</xdr:row>
      <xdr:rowOff>82796</xdr:rowOff>
    </xdr:from>
    <xdr:to>
      <xdr:col>37</xdr:col>
      <xdr:colOff>67842</xdr:colOff>
      <xdr:row>49</xdr:row>
      <xdr:rowOff>143464</xdr:rowOff>
    </xdr:to>
    <xdr:pic>
      <xdr:nvPicPr>
        <xdr:cNvPr id="7" name="Picture 6">
          <a:extLst>
            <a:ext uri="{FF2B5EF4-FFF2-40B4-BE49-F238E27FC236}">
              <a16:creationId xmlns:a16="http://schemas.microsoft.com/office/drawing/2014/main" id="{1B11A30D-20F3-9265-9F9E-9653B5948173}"/>
            </a:ext>
          </a:extLst>
        </xdr:cNvPr>
        <xdr:cNvPicPr>
          <a:picLocks noChangeAspect="1"/>
        </xdr:cNvPicPr>
      </xdr:nvPicPr>
      <xdr:blipFill>
        <a:blip xmlns:r="http://schemas.openxmlformats.org/officeDocument/2006/relationships" r:embed="rId5"/>
        <a:stretch>
          <a:fillRect/>
        </a:stretch>
      </xdr:blipFill>
      <xdr:spPr>
        <a:xfrm>
          <a:off x="15706725" y="5988296"/>
          <a:ext cx="6916317" cy="3489668"/>
        </a:xfrm>
        <a:prstGeom prst="rect">
          <a:avLst/>
        </a:prstGeom>
      </xdr:spPr>
    </xdr:pic>
    <xdr:clientData/>
  </xdr:twoCellAnchor>
  <xdr:twoCellAnchor editAs="oneCell">
    <xdr:from>
      <xdr:col>21</xdr:col>
      <xdr:colOff>381000</xdr:colOff>
      <xdr:row>49</xdr:row>
      <xdr:rowOff>180975</xdr:rowOff>
    </xdr:from>
    <xdr:to>
      <xdr:col>25</xdr:col>
      <xdr:colOff>381340</xdr:colOff>
      <xdr:row>58</xdr:row>
      <xdr:rowOff>57372</xdr:rowOff>
    </xdr:to>
    <xdr:pic>
      <xdr:nvPicPr>
        <xdr:cNvPr id="8" name="Picture 7">
          <a:extLst>
            <a:ext uri="{FF2B5EF4-FFF2-40B4-BE49-F238E27FC236}">
              <a16:creationId xmlns:a16="http://schemas.microsoft.com/office/drawing/2014/main" id="{234E6ABC-1CB5-FFCF-78F5-E593215BDE5C}"/>
            </a:ext>
          </a:extLst>
        </xdr:cNvPr>
        <xdr:cNvPicPr>
          <a:picLocks noChangeAspect="1"/>
        </xdr:cNvPicPr>
      </xdr:nvPicPr>
      <xdr:blipFill>
        <a:blip xmlns:r="http://schemas.openxmlformats.org/officeDocument/2006/relationships" r:embed="rId6"/>
        <a:stretch>
          <a:fillRect/>
        </a:stretch>
      </xdr:blipFill>
      <xdr:spPr>
        <a:xfrm>
          <a:off x="13182600" y="9515475"/>
          <a:ext cx="2438740" cy="159089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Zak Avery" id="{B8A479BC-847C-451E-84CB-8AFDC32394C1}" userId="S::zak@bluefoxfinance.com.au::2ecb7623-3e38-4dc5-9ca5-fc3455d160d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E2" dT="2024-11-21T03:59:50.49" personId="{B8A479BC-847C-451E-84CB-8AFDC32394C1}" id="{AA244362-FFB9-4848-922A-2205A0464E26}">
    <text xml:space="preserve">Used $100k PAYG income.  4.5% yield and 80% LVR on next purchase.  Estimated formula from a few trials
</text>
  </threadedComment>
</ThreadedComments>
</file>

<file path=xl/threadedComments/threadedComment2.xml><?xml version="1.0" encoding="utf-8"?>
<ThreadedComments xmlns="http://schemas.microsoft.com/office/spreadsheetml/2018/threadedcomments" xmlns:x="http://schemas.openxmlformats.org/spreadsheetml/2006/main">
  <threadedComment ref="AE2" dT="2024-11-21T03:59:50.49" personId="{B8A479BC-847C-451E-84CB-8AFDC32394C1}" id="{804483DE-D6C4-44F3-BD33-2F922E90AC54}">
    <text xml:space="preserve">Used $100k PAYG income.  4.5% yield and 80% LVR on next purchase.  Estimated formula from a few trials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corelogic.com.au/__data/assets/pdf_file/0015/12237/220829_CoreLogic_Pulse_30years_Finalv2.pdf" TargetMode="External"/><Relationship Id="rId2" Type="http://schemas.openxmlformats.org/officeDocument/2006/relationships/hyperlink" Target="https://www.rba.gov.au/publications/rdp/2014/2014-06/appendix-a.html" TargetMode="External"/><Relationship Id="rId1" Type="http://schemas.openxmlformats.org/officeDocument/2006/relationships/hyperlink" Target="https://tradingeconomics.com/australia/rent-inflation"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1579E-8797-4394-9231-A450818E0A95}">
  <dimension ref="A1:R63"/>
  <sheetViews>
    <sheetView tabSelected="1" workbookViewId="0">
      <selection activeCell="R12" sqref="R12"/>
    </sheetView>
  </sheetViews>
  <sheetFormatPr defaultRowHeight="15" x14ac:dyDescent="0.25"/>
  <cols>
    <col min="2" max="2" width="41.7109375" bestFit="1" customWidth="1"/>
    <col min="3" max="3" width="14.28515625" bestFit="1" customWidth="1"/>
    <col min="5" max="5" width="11.85546875" customWidth="1"/>
    <col min="6" max="6" width="11.42578125" bestFit="1" customWidth="1"/>
    <col min="7" max="7" width="16.7109375" bestFit="1" customWidth="1"/>
    <col min="10" max="10" width="16.5703125" customWidth="1"/>
    <col min="11" max="11" width="15" bestFit="1" customWidth="1"/>
    <col min="12" max="13" width="8.5703125" customWidth="1"/>
    <col min="14" max="14" width="18.7109375" customWidth="1"/>
    <col min="15" max="15" width="18.5703125" customWidth="1"/>
    <col min="16" max="16" width="14.28515625" bestFit="1" customWidth="1"/>
    <col min="17" max="17" width="11.5703125" bestFit="1" customWidth="1"/>
  </cols>
  <sheetData>
    <row r="1" spans="1:18" x14ac:dyDescent="0.25">
      <c r="C1" s="52" t="s">
        <v>107</v>
      </c>
      <c r="D1" s="52"/>
      <c r="E1" s="52"/>
      <c r="F1" s="52"/>
      <c r="G1" s="52"/>
      <c r="H1" s="52"/>
      <c r="I1" s="52"/>
      <c r="J1" s="52"/>
      <c r="K1" s="52"/>
      <c r="L1" s="52"/>
      <c r="M1" s="52"/>
      <c r="N1" s="52"/>
      <c r="O1" s="52"/>
      <c r="P1" s="52"/>
      <c r="Q1" s="52"/>
      <c r="R1" s="52"/>
    </row>
    <row r="2" spans="1:18" ht="15" customHeight="1" x14ac:dyDescent="0.25">
      <c r="C2" s="52"/>
      <c r="D2" s="52"/>
      <c r="E2" s="52"/>
      <c r="F2" s="52"/>
      <c r="G2" s="52"/>
      <c r="H2" s="52"/>
      <c r="I2" s="52"/>
      <c r="J2" s="52"/>
      <c r="K2" s="52"/>
      <c r="L2" s="52"/>
      <c r="M2" s="52"/>
      <c r="N2" s="52"/>
      <c r="O2" s="52"/>
      <c r="P2" s="52"/>
      <c r="Q2" s="52"/>
      <c r="R2" s="52"/>
    </row>
    <row r="3" spans="1:18" x14ac:dyDescent="0.25">
      <c r="C3" s="52"/>
      <c r="D3" s="52"/>
      <c r="E3" s="52"/>
      <c r="F3" s="52"/>
      <c r="G3" s="52"/>
      <c r="H3" s="52"/>
      <c r="I3" s="52"/>
      <c r="J3" s="52"/>
      <c r="K3" s="52"/>
      <c r="L3" s="52"/>
      <c r="M3" s="52"/>
      <c r="N3" s="52"/>
      <c r="O3" s="52"/>
      <c r="P3" s="52"/>
      <c r="Q3" s="52"/>
      <c r="R3" s="52"/>
    </row>
    <row r="4" spans="1:18" x14ac:dyDescent="0.25">
      <c r="C4" s="52"/>
      <c r="D4" s="52"/>
      <c r="E4" s="52"/>
      <c r="F4" s="52"/>
      <c r="G4" s="52"/>
      <c r="H4" s="52"/>
      <c r="I4" s="52"/>
      <c r="J4" s="52"/>
      <c r="K4" s="52"/>
      <c r="L4" s="52"/>
      <c r="M4" s="52"/>
      <c r="N4" s="52"/>
      <c r="O4" s="52"/>
      <c r="P4" s="52"/>
      <c r="Q4" s="52"/>
      <c r="R4" s="52"/>
    </row>
    <row r="5" spans="1:18" x14ac:dyDescent="0.25">
      <c r="C5" s="52"/>
      <c r="D5" s="52"/>
      <c r="E5" s="52"/>
      <c r="F5" s="52"/>
      <c r="G5" s="52"/>
      <c r="H5" s="52"/>
      <c r="I5" s="52"/>
      <c r="J5" s="52"/>
      <c r="K5" s="52"/>
      <c r="L5" s="52"/>
      <c r="M5" s="52"/>
      <c r="N5" s="52"/>
      <c r="O5" s="52"/>
      <c r="P5" s="52"/>
      <c r="Q5" s="52"/>
      <c r="R5" s="52"/>
    </row>
    <row r="6" spans="1:18" x14ac:dyDescent="0.25">
      <c r="C6" s="52"/>
      <c r="D6" s="52"/>
      <c r="E6" s="52"/>
      <c r="F6" s="52"/>
      <c r="G6" s="52"/>
      <c r="H6" s="52"/>
      <c r="I6" s="52"/>
      <c r="J6" s="52"/>
      <c r="K6" s="52"/>
      <c r="L6" s="52"/>
      <c r="M6" s="52"/>
      <c r="N6" s="52"/>
      <c r="O6" s="52"/>
      <c r="P6" s="52"/>
      <c r="Q6" s="52"/>
      <c r="R6" s="52"/>
    </row>
    <row r="7" spans="1:18" ht="17.25" customHeight="1" x14ac:dyDescent="0.25">
      <c r="C7" s="52"/>
      <c r="D7" s="52"/>
      <c r="E7" s="52"/>
      <c r="F7" s="52"/>
      <c r="G7" s="52"/>
      <c r="H7" s="52"/>
      <c r="I7" s="52"/>
      <c r="J7" s="52"/>
      <c r="K7" s="52"/>
      <c r="L7" s="52"/>
      <c r="M7" s="52"/>
      <c r="N7" s="52"/>
      <c r="O7" s="52"/>
      <c r="P7" s="52"/>
      <c r="Q7" s="52"/>
      <c r="R7" s="52"/>
    </row>
    <row r="8" spans="1:18" ht="15.75" thickBot="1" x14ac:dyDescent="0.3">
      <c r="A8" s="27"/>
      <c r="B8" s="27"/>
      <c r="C8" s="41" t="s">
        <v>105</v>
      </c>
      <c r="D8" s="27"/>
      <c r="E8" s="27"/>
      <c r="F8" s="27"/>
      <c r="G8" s="27"/>
      <c r="H8" s="27"/>
      <c r="I8" s="27"/>
      <c r="J8" s="27"/>
      <c r="K8" s="27"/>
      <c r="L8" s="27"/>
      <c r="M8" s="27"/>
      <c r="N8" s="27"/>
      <c r="O8" s="27"/>
      <c r="P8" s="27"/>
      <c r="Q8" s="27"/>
      <c r="R8" s="27"/>
    </row>
    <row r="9" spans="1:18" ht="15.75" thickTop="1" x14ac:dyDescent="0.25"/>
    <row r="10" spans="1:18" ht="15.75" thickBot="1" x14ac:dyDescent="0.3">
      <c r="B10" s="36" t="s">
        <v>79</v>
      </c>
      <c r="C10" s="36"/>
      <c r="E10" s="36" t="s">
        <v>94</v>
      </c>
      <c r="F10" s="36"/>
      <c r="G10" s="36"/>
      <c r="I10" s="36" t="s">
        <v>95</v>
      </c>
      <c r="J10" s="36"/>
      <c r="K10" s="36"/>
      <c r="M10" s="36" t="s">
        <v>96</v>
      </c>
      <c r="N10" s="36"/>
      <c r="O10" s="36"/>
      <c r="P10" s="47"/>
    </row>
    <row r="11" spans="1:18" x14ac:dyDescent="0.25">
      <c r="B11" s="20" t="s">
        <v>106</v>
      </c>
      <c r="C11" s="21">
        <v>500000</v>
      </c>
      <c r="E11" s="25"/>
      <c r="F11" s="29" t="s">
        <v>81</v>
      </c>
      <c r="G11" s="29" t="s">
        <v>82</v>
      </c>
      <c r="I11" s="25"/>
      <c r="J11" s="29" t="s">
        <v>83</v>
      </c>
      <c r="K11" s="29" t="s">
        <v>84</v>
      </c>
      <c r="M11" s="34"/>
      <c r="N11" s="35" t="s">
        <v>85</v>
      </c>
      <c r="O11" s="45" t="s">
        <v>86</v>
      </c>
      <c r="P11" s="48" t="s">
        <v>103</v>
      </c>
    </row>
    <row r="12" spans="1:18" x14ac:dyDescent="0.25">
      <c r="B12" s="20" t="s">
        <v>4</v>
      </c>
      <c r="C12" s="22">
        <f>+C11*0.25</f>
        <v>125000</v>
      </c>
      <c r="E12" s="29" t="s">
        <v>5</v>
      </c>
      <c r="F12" s="21">
        <f>+'Individual 1'!M3</f>
        <v>0</v>
      </c>
      <c r="G12" s="21">
        <f>+'Individual 1'!AE3</f>
        <v>-289478.25933242048</v>
      </c>
      <c r="I12" s="29" t="s">
        <v>5</v>
      </c>
      <c r="J12" s="26">
        <f>+'Individual 1'!N3</f>
        <v>0</v>
      </c>
      <c r="K12" s="26">
        <f>+'Individual 1'!L3</f>
        <v>0</v>
      </c>
      <c r="M12" s="29" t="s">
        <v>5</v>
      </c>
      <c r="N12" s="26">
        <f>+'Individual 1'!P3</f>
        <v>-25000</v>
      </c>
      <c r="O12" s="43">
        <f>+'Individual 1'!AL3</f>
        <v>100000</v>
      </c>
      <c r="P12" s="49">
        <f>+O12-$C$12</f>
        <v>-25000</v>
      </c>
    </row>
    <row r="13" spans="1:18" x14ac:dyDescent="0.25">
      <c r="B13" s="20" t="s">
        <v>1</v>
      </c>
      <c r="C13" s="32">
        <v>5.8000000000000003E-2</v>
      </c>
      <c r="E13" s="30" t="s">
        <v>6</v>
      </c>
      <c r="F13" s="31">
        <f>+'Individual 1'!M4</f>
        <v>-9877.6124999999993</v>
      </c>
      <c r="G13" s="31">
        <f>+'Individual 1'!AE4</f>
        <v>-286700.48433242046</v>
      </c>
      <c r="I13" s="30" t="s">
        <v>6</v>
      </c>
      <c r="J13" s="28">
        <f>+'Individual 1'!N4</f>
        <v>-9877.6124999999993</v>
      </c>
      <c r="K13" s="28">
        <f>+'Individual 1'!L4</f>
        <v>23200</v>
      </c>
      <c r="M13" s="30" t="s">
        <v>6</v>
      </c>
      <c r="N13" s="28">
        <f>+'Individual 1'!P4</f>
        <v>-5877.6124999999884</v>
      </c>
      <c r="O13" s="44">
        <f>+'Individual 1'!AL4</f>
        <v>112597.3875</v>
      </c>
      <c r="P13" s="49">
        <f t="shared" ref="P13:P20" si="0">+O13-$C$12</f>
        <v>-12402.612500000003</v>
      </c>
    </row>
    <row r="14" spans="1:18" x14ac:dyDescent="0.25">
      <c r="B14" s="20" t="s">
        <v>68</v>
      </c>
      <c r="C14" s="32">
        <v>3.5000000000000003E-2</v>
      </c>
      <c r="E14" s="29" t="s">
        <v>8</v>
      </c>
      <c r="F14" s="21">
        <f>+'Individual 1'!M6</f>
        <v>-9289.782101249999</v>
      </c>
      <c r="G14" s="21">
        <f>+'Individual 1'!AE6</f>
        <v>-280892.43458492047</v>
      </c>
      <c r="I14" s="29" t="s">
        <v>8</v>
      </c>
      <c r="J14" s="26">
        <f>+'Individual 1'!N6</f>
        <v>-30643.265470387498</v>
      </c>
      <c r="K14" s="26">
        <f>+'Individual 1'!L6</f>
        <v>73714.844800000021</v>
      </c>
      <c r="M14" s="29" t="s">
        <v>8</v>
      </c>
      <c r="N14" s="26">
        <f>+'Individual 1'!P6</f>
        <v>36500.290529612452</v>
      </c>
      <c r="O14" s="43">
        <f>+'Individual 1'!AL6</f>
        <v>140767.99042961249</v>
      </c>
      <c r="P14" s="49">
        <f t="shared" si="0"/>
        <v>15767.990429612488</v>
      </c>
      <c r="Q14" s="3"/>
    </row>
    <row r="15" spans="1:18" x14ac:dyDescent="0.25">
      <c r="B15" s="20" t="s">
        <v>69</v>
      </c>
      <c r="C15" s="23">
        <v>0.03</v>
      </c>
      <c r="E15" s="30" t="s">
        <v>10</v>
      </c>
      <c r="F15" s="31">
        <f>+'Individual 1'!M8</f>
        <v>-8666.1528312161245</v>
      </c>
      <c r="G15" s="31">
        <f>+'Individual 1'!AE8</f>
        <v>-274730.67460779776</v>
      </c>
      <c r="I15" s="30" t="s">
        <v>10</v>
      </c>
      <c r="J15" s="28">
        <f>+'Individual 1'!N8</f>
        <v>-52840.570696362032</v>
      </c>
      <c r="K15" s="28">
        <f>+'Individual 1'!L8</f>
        <v>130259.34353470732</v>
      </c>
      <c r="M15" s="30" t="s">
        <v>10</v>
      </c>
      <c r="N15" s="28">
        <f>+'Individual 1'!P8</f>
        <v>84983.608722022036</v>
      </c>
      <c r="O15" s="44">
        <f>+'Individual 1'!AL8</f>
        <v>173348.16835288567</v>
      </c>
      <c r="P15" s="50">
        <f t="shared" si="0"/>
        <v>48348.168352885667</v>
      </c>
    </row>
    <row r="16" spans="1:18" x14ac:dyDescent="0.25">
      <c r="B16" s="20" t="s">
        <v>89</v>
      </c>
      <c r="C16" s="21">
        <v>0</v>
      </c>
      <c r="E16" s="29" t="s">
        <v>15</v>
      </c>
      <c r="F16" s="21">
        <f>+'Individual 1'!M13</f>
        <v>-6935.8236300713961</v>
      </c>
      <c r="G16" s="21">
        <f>+'Individual 1'!AE13</f>
        <v>-257634.1819779998</v>
      </c>
      <c r="I16" s="29" t="s">
        <v>15</v>
      </c>
      <c r="J16" s="26">
        <f>+'Individual 1'!N13</f>
        <v>-115335.4328132902</v>
      </c>
      <c r="K16" s="26">
        <f>+'Individual 1'!L13</f>
        <v>302937.42851464695</v>
      </c>
      <c r="M16" s="29" t="s">
        <v>15</v>
      </c>
      <c r="N16" s="26">
        <f>+'Individual 1'!P13</f>
        <v>238336.3528300185</v>
      </c>
      <c r="O16" s="43">
        <f>+'Individual 1'!AL13</f>
        <v>278135.20106027398</v>
      </c>
      <c r="P16" s="49">
        <f t="shared" si="0"/>
        <v>153135.20106027398</v>
      </c>
    </row>
    <row r="17" spans="2:16" x14ac:dyDescent="0.25">
      <c r="B17" s="20" t="s">
        <v>72</v>
      </c>
      <c r="C17" s="24">
        <v>0.15</v>
      </c>
      <c r="E17" s="30" t="s">
        <v>20</v>
      </c>
      <c r="F17" s="31">
        <f>+'Individual 1'!M18</f>
        <v>-4929.8978471800838</v>
      </c>
      <c r="G17" s="31">
        <f>+'Individual 1'!AE18</f>
        <v>-237814.66131081412</v>
      </c>
      <c r="I17" s="30" t="s">
        <v>20</v>
      </c>
      <c r="J17" s="28">
        <f>+'Individual 1'!N18</f>
        <v>-189464.62182611547</v>
      </c>
      <c r="K17" s="28">
        <f>+'Individual 1'!L18</f>
        <v>531847.84847537987</v>
      </c>
      <c r="M17" s="30" t="s">
        <v>20</v>
      </c>
      <c r="N17" s="28">
        <f>+'Individual 1'!P18</f>
        <v>450345.18876810931</v>
      </c>
      <c r="O17" s="44">
        <f>+'Individual 1'!AL18</f>
        <v>425762.98138440872</v>
      </c>
      <c r="P17" s="49">
        <f t="shared" si="0"/>
        <v>300762.98138440872</v>
      </c>
    </row>
    <row r="18" spans="2:16" x14ac:dyDescent="0.25">
      <c r="B18" s="20" t="s">
        <v>37</v>
      </c>
      <c r="C18" s="22">
        <f>+C11*0.8</f>
        <v>400000</v>
      </c>
      <c r="E18" s="29" t="s">
        <v>25</v>
      </c>
      <c r="F18" s="21">
        <f>+'Individual 1'!M23</f>
        <v>-2604.4800921042529</v>
      </c>
      <c r="G18" s="21">
        <f>+'Individual 1'!AE23</f>
        <v>-214838.40483629267</v>
      </c>
      <c r="I18" s="29" t="s">
        <v>25</v>
      </c>
      <c r="J18" s="26">
        <f>+'Individual 1'!N23</f>
        <v>-277681.58256576309</v>
      </c>
      <c r="K18" s="26">
        <f>+'Individual 1'!L23</f>
        <v>835302.57101696101</v>
      </c>
      <c r="M18" s="29" t="s">
        <v>25</v>
      </c>
      <c r="N18" s="26">
        <f>+'Individual 1'!P23</f>
        <v>741446.63120543817</v>
      </c>
      <c r="O18" s="43">
        <f>+'Individual 1'!AL23</f>
        <v>631517.78310691798</v>
      </c>
      <c r="P18" s="49">
        <f t="shared" si="0"/>
        <v>506517.78310691798</v>
      </c>
    </row>
    <row r="19" spans="2:16" x14ac:dyDescent="0.25">
      <c r="B19" s="20" t="s">
        <v>3</v>
      </c>
      <c r="C19" s="24">
        <v>6.5000000000000002E-2</v>
      </c>
      <c r="E19" s="30" t="s">
        <v>30</v>
      </c>
      <c r="F19" s="31">
        <f>+'Individual 1'!M28</f>
        <v>91.316423272067368</v>
      </c>
      <c r="G19" s="31">
        <f>+'Individual 1'!AE28</f>
        <v>-188202.62638091246</v>
      </c>
      <c r="I19" s="30" t="s">
        <v>30</v>
      </c>
      <c r="J19" s="28">
        <f>+'Individual 1'!N28</f>
        <v>-383045.03441325371</v>
      </c>
      <c r="K19" s="28">
        <f>+'Individual 1'!L28</f>
        <v>1237576.8259354748</v>
      </c>
      <c r="M19" s="30" t="s">
        <v>30</v>
      </c>
      <c r="N19" s="28">
        <f>+'Individual 1'!P28</f>
        <v>1138925.9980060898</v>
      </c>
      <c r="O19" s="44">
        <f>+'Individual 1'!AL28</f>
        <v>915857.51571173756</v>
      </c>
      <c r="P19" s="49">
        <f t="shared" si="0"/>
        <v>790857.51571173756</v>
      </c>
    </row>
    <row r="20" spans="2:16" ht="15.75" thickBot="1" x14ac:dyDescent="0.3">
      <c r="B20" s="20" t="s">
        <v>2</v>
      </c>
      <c r="C20" s="32">
        <v>0.37</v>
      </c>
      <c r="E20" s="29" t="s">
        <v>35</v>
      </c>
      <c r="F20" s="21">
        <f>+'Individual 1'!M33</f>
        <v>3216.483433136113</v>
      </c>
      <c r="G20" s="21">
        <f>+'Individual 1'!AE33</f>
        <v>-157324.4589687917</v>
      </c>
      <c r="I20" s="29" t="s">
        <v>35</v>
      </c>
      <c r="J20" s="26">
        <f>+'Individual 1'!N33</f>
        <v>-509392.01187760039</v>
      </c>
      <c r="K20" s="26">
        <f>+'Individual 1'!L33</f>
        <v>1770851.0317704859</v>
      </c>
      <c r="M20" s="29" t="s">
        <v>35</v>
      </c>
      <c r="N20" s="26">
        <f>+'Individual 1'!P33</f>
        <v>1679171.7778355069</v>
      </c>
      <c r="O20" s="43">
        <f>+'Individual 1'!AL33</f>
        <v>1306119.925150058</v>
      </c>
      <c r="P20" s="51">
        <f t="shared" si="0"/>
        <v>1181119.925150058</v>
      </c>
    </row>
    <row r="21" spans="2:16" x14ac:dyDescent="0.25">
      <c r="B21" s="20" t="s">
        <v>42</v>
      </c>
      <c r="C21" s="24">
        <v>0.1</v>
      </c>
    </row>
    <row r="22" spans="2:16" x14ac:dyDescent="0.25">
      <c r="B22" s="39"/>
      <c r="C22" s="39"/>
    </row>
    <row r="23" spans="2:16" x14ac:dyDescent="0.25">
      <c r="B23" s="40" t="s">
        <v>108</v>
      </c>
      <c r="C23" s="40"/>
      <c r="D23" s="40"/>
      <c r="E23" s="40"/>
      <c r="F23" s="40"/>
      <c r="G23" s="40"/>
      <c r="H23" s="40"/>
      <c r="I23" s="40"/>
      <c r="J23" s="40"/>
      <c r="K23" s="40"/>
      <c r="L23" s="40"/>
      <c r="M23" s="40"/>
      <c r="N23" s="40"/>
      <c r="O23" s="40"/>
      <c r="P23" s="40"/>
    </row>
    <row r="24" spans="2:16" ht="15.75" thickBot="1" x14ac:dyDescent="0.3">
      <c r="B24" s="36" t="s">
        <v>80</v>
      </c>
      <c r="C24" s="36"/>
      <c r="E24" s="36" t="s">
        <v>94</v>
      </c>
      <c r="F24" s="36"/>
      <c r="G24" s="36"/>
      <c r="I24" s="36" t="s">
        <v>95</v>
      </c>
      <c r="J24" s="36"/>
      <c r="K24" s="36"/>
      <c r="M24" s="37" t="s">
        <v>96</v>
      </c>
      <c r="N24" s="38"/>
      <c r="O24" s="38"/>
      <c r="P24" s="46"/>
    </row>
    <row r="25" spans="2:16" x14ac:dyDescent="0.25">
      <c r="B25" s="20" t="s">
        <v>106</v>
      </c>
      <c r="C25" s="21">
        <v>500000</v>
      </c>
      <c r="E25" s="25"/>
      <c r="F25" s="29" t="s">
        <v>81</v>
      </c>
      <c r="G25" s="29" t="s">
        <v>82</v>
      </c>
      <c r="I25" s="25"/>
      <c r="J25" s="29" t="s">
        <v>83</v>
      </c>
      <c r="K25" s="29" t="s">
        <v>84</v>
      </c>
      <c r="M25" s="25"/>
      <c r="N25" s="29" t="s">
        <v>85</v>
      </c>
      <c r="O25" s="42" t="s">
        <v>86</v>
      </c>
      <c r="P25" s="48" t="s">
        <v>103</v>
      </c>
    </row>
    <row r="26" spans="2:16" x14ac:dyDescent="0.25">
      <c r="B26" s="20" t="s">
        <v>4</v>
      </c>
      <c r="C26" s="22">
        <f>+C25*0.25</f>
        <v>125000</v>
      </c>
      <c r="E26" s="29" t="s">
        <v>5</v>
      </c>
      <c r="F26" s="26">
        <f>+'Individual 2'!M3</f>
        <v>0</v>
      </c>
      <c r="G26" s="26">
        <f>+'Individual 2'!AE3</f>
        <v>-236568.25933242048</v>
      </c>
      <c r="I26" s="29" t="s">
        <v>5</v>
      </c>
      <c r="J26" s="26">
        <f>+'Individual 2'!N3</f>
        <v>0</v>
      </c>
      <c r="K26" s="26">
        <f>+'Individual 2'!L3</f>
        <v>0</v>
      </c>
      <c r="M26" s="29" t="s">
        <v>5</v>
      </c>
      <c r="N26" s="26">
        <f>+'Individual 2'!P3</f>
        <v>-25000</v>
      </c>
      <c r="O26" s="43">
        <f>+'Individual 2'!AL3</f>
        <v>100000</v>
      </c>
      <c r="P26" s="49">
        <f>+O26-$C$26</f>
        <v>-25000</v>
      </c>
    </row>
    <row r="27" spans="2:16" x14ac:dyDescent="0.25">
      <c r="B27" s="20" t="s">
        <v>1</v>
      </c>
      <c r="C27" s="32">
        <v>4.8000000000000001E-2</v>
      </c>
      <c r="E27" s="30" t="s">
        <v>6</v>
      </c>
      <c r="F27" s="28">
        <f>+'Individual 2'!M4</f>
        <v>-4361.9624999999996</v>
      </c>
      <c r="G27" s="28">
        <f>+'Individual 2'!AE4</f>
        <v>-232203.18433242047</v>
      </c>
      <c r="I27" s="30" t="s">
        <v>6</v>
      </c>
      <c r="J27" s="28">
        <f>+'Individual 2'!N4</f>
        <v>-4361.9624999999996</v>
      </c>
      <c r="K27" s="28">
        <f>+'Individual 2'!L4</f>
        <v>19200</v>
      </c>
      <c r="M27" s="30" t="s">
        <v>6</v>
      </c>
      <c r="N27" s="28">
        <f>+'Individual 2'!P4</f>
        <v>-5361.9625000000233</v>
      </c>
      <c r="O27" s="44">
        <f>+'Individual 2'!AL4</f>
        <v>114238.03750000001</v>
      </c>
      <c r="P27" s="49">
        <f t="shared" ref="P27:P34" si="1">+O27-$C$26</f>
        <v>-10761.962499999994</v>
      </c>
    </row>
    <row r="28" spans="2:16" x14ac:dyDescent="0.25">
      <c r="B28" s="20" t="s">
        <v>68</v>
      </c>
      <c r="C28" s="32">
        <v>5.5E-2</v>
      </c>
      <c r="E28" s="29" t="s">
        <v>8</v>
      </c>
      <c r="F28" s="26">
        <f>+'Individual 2'!M6</f>
        <v>-3438.2290162500008</v>
      </c>
      <c r="G28" s="26">
        <f>+'Individual 2'!AE6</f>
        <v>-223076.24901492041</v>
      </c>
      <c r="I28" s="29" t="s">
        <v>8</v>
      </c>
      <c r="J28" s="26">
        <f>+'Individual 2'!N6</f>
        <v>-12520.168842037499</v>
      </c>
      <c r="K28" s="26">
        <f>+'Individual 2'!L6</f>
        <v>60409.036800000002</v>
      </c>
      <c r="M28" s="29" t="s">
        <v>8</v>
      </c>
      <c r="N28" s="26">
        <f>+'Individual 2'!P6</f>
        <v>37991.127157962415</v>
      </c>
      <c r="O28" s="43">
        <f>+'Individual 2'!AL6</f>
        <v>146001.08555796248</v>
      </c>
      <c r="P28" s="49">
        <f t="shared" si="1"/>
        <v>21001.085557962477</v>
      </c>
    </row>
    <row r="29" spans="2:16" x14ac:dyDescent="0.25">
      <c r="B29" s="20" t="s">
        <v>69</v>
      </c>
      <c r="C29" s="23">
        <v>0.03</v>
      </c>
      <c r="E29" s="30" t="s">
        <v>10</v>
      </c>
      <c r="F29" s="28">
        <f>+'Individual 2'!M8</f>
        <v>-2458.2401633396239</v>
      </c>
      <c r="G29" s="28">
        <f>+'Individual 2'!AE8</f>
        <v>-213393.48333658467</v>
      </c>
      <c r="I29" s="30" t="s">
        <v>10</v>
      </c>
      <c r="J29" s="28">
        <f>+'Individual 2'!N8</f>
        <v>-19747.313697209858</v>
      </c>
      <c r="K29" s="28">
        <f>+'Individual 2'!L8</f>
        <v>105669.08675358718</v>
      </c>
      <c r="M29" s="30" t="s">
        <v>10</v>
      </c>
      <c r="N29" s="28">
        <f>+'Individual 2'!P8</f>
        <v>87339.044744774117</v>
      </c>
      <c r="O29" s="44">
        <f>+'Individual 2'!AL8</f>
        <v>182619.61409532762</v>
      </c>
      <c r="P29" s="50">
        <f t="shared" si="1"/>
        <v>57619.614095327619</v>
      </c>
    </row>
    <row r="30" spans="2:16" x14ac:dyDescent="0.25">
      <c r="B30" s="20" t="s">
        <v>89</v>
      </c>
      <c r="C30" s="21">
        <v>0</v>
      </c>
      <c r="E30" s="29" t="s">
        <v>15</v>
      </c>
      <c r="F30" s="26">
        <f>+'Individual 2'!M13</f>
        <v>260.84858131637674</v>
      </c>
      <c r="G30" s="26">
        <f>+'Individual 2'!AE13</f>
        <v>-186527.56634690231</v>
      </c>
      <c r="I30" s="29" t="s">
        <v>15</v>
      </c>
      <c r="J30" s="26">
        <f>+'Individual 2'!N13</f>
        <v>-32054.785492624025</v>
      </c>
      <c r="K30" s="26">
        <f>+'Individual 2'!L13</f>
        <v>239253.0632455172</v>
      </c>
      <c r="M30" s="29" t="s">
        <v>15</v>
      </c>
      <c r="N30" s="26">
        <f>+'Individual 2'!P13</f>
        <v>242011.54356427246</v>
      </c>
      <c r="O30" s="43">
        <f>+'Individual 2'!AL13</f>
        <v>299721.61952647078</v>
      </c>
      <c r="P30" s="49">
        <f t="shared" si="1"/>
        <v>174721.61952647078</v>
      </c>
    </row>
    <row r="31" spans="2:16" x14ac:dyDescent="0.25">
      <c r="B31" s="20" t="s">
        <v>72</v>
      </c>
      <c r="C31" s="24">
        <v>0.15</v>
      </c>
      <c r="E31" s="30" t="s">
        <v>20</v>
      </c>
      <c r="F31" s="28">
        <f>+'Individual 2'!M18</f>
        <v>3413.0176687170151</v>
      </c>
      <c r="G31" s="28">
        <f>+'Individual 2'!AE18</f>
        <v>-155382.60529846765</v>
      </c>
      <c r="I31" s="30" t="s">
        <v>20</v>
      </c>
      <c r="J31" s="28">
        <f>+'Individual 2'!N18</f>
        <v>-31955.708585366981</v>
      </c>
      <c r="K31" s="28">
        <f>+'Individual 2'!L18</f>
        <v>408126.28173948464</v>
      </c>
      <c r="M31" s="30" t="s">
        <v>20</v>
      </c>
      <c r="N31" s="28">
        <f>+'Individual 2'!P18</f>
        <v>453202.14358898881</v>
      </c>
      <c r="O31" s="44">
        <f>+'Individual 2'!AL18</f>
        <v>463416.62684975879</v>
      </c>
      <c r="P31" s="49">
        <f t="shared" si="1"/>
        <v>338416.62684975879</v>
      </c>
    </row>
    <row r="32" spans="2:16" x14ac:dyDescent="0.25">
      <c r="B32" s="20" t="s">
        <v>37</v>
      </c>
      <c r="C32" s="22">
        <v>400000</v>
      </c>
      <c r="E32" s="29" t="s">
        <v>25</v>
      </c>
      <c r="F32" s="26">
        <f>+'Individual 2'!M23</f>
        <v>7067.2455695504659</v>
      </c>
      <c r="G32" s="26">
        <f>+'Individual 2'!AE23</f>
        <v>-119277.05940993391</v>
      </c>
      <c r="I32" s="29" t="s">
        <v>25</v>
      </c>
      <c r="J32" s="26">
        <f>+'Individual 2'!N23</f>
        <v>-12341.20798504957</v>
      </c>
      <c r="K32" s="26">
        <f>+'Individual 2'!L23</f>
        <v>621611.1971719435</v>
      </c>
      <c r="M32" s="29" t="s">
        <v>25</v>
      </c>
      <c r="N32" s="26">
        <f>+'Individual 2'!P23</f>
        <v>739672.78847987973</v>
      </c>
      <c r="O32" s="43">
        <f>+'Individual 2'!AL23</f>
        <v>689844.63927527051</v>
      </c>
      <c r="P32" s="49">
        <f t="shared" si="1"/>
        <v>564844.63927527051</v>
      </c>
    </row>
    <row r="33" spans="1:18" x14ac:dyDescent="0.25">
      <c r="B33" s="20" t="s">
        <v>3</v>
      </c>
      <c r="C33" s="24">
        <v>6.5000000000000002E-2</v>
      </c>
      <c r="E33" s="30" t="s">
        <v>30</v>
      </c>
      <c r="F33" s="28">
        <f>+'Individual 2'!M28</f>
        <v>11303.4972365704</v>
      </c>
      <c r="G33" s="28">
        <f>+'Individual 2'!AE28</f>
        <v>-77420.836122907844</v>
      </c>
      <c r="I33" s="30" t="s">
        <v>30</v>
      </c>
      <c r="J33" s="28">
        <f>+'Individual 2'!N28</f>
        <v>36863.659348238492</v>
      </c>
      <c r="K33" s="28">
        <f>+'Individual 2'!L28</f>
        <v>891493.00272793951</v>
      </c>
      <c r="M33" s="30" t="s">
        <v>30</v>
      </c>
      <c r="N33" s="28">
        <f>+'Individual 2'!P28</f>
        <v>1126229.9127581627</v>
      </c>
      <c r="O33" s="44">
        <f>+'Individual 2'!AL28</f>
        <v>1000497.5057409296</v>
      </c>
      <c r="P33" s="49">
        <f t="shared" si="1"/>
        <v>875497.50574092963</v>
      </c>
    </row>
    <row r="34" spans="1:18" ht="15.75" thickBot="1" x14ac:dyDescent="0.3">
      <c r="B34" s="20" t="s">
        <v>2</v>
      </c>
      <c r="C34" s="32">
        <v>0.37</v>
      </c>
      <c r="E34" s="29" t="s">
        <v>35</v>
      </c>
      <c r="F34" s="26">
        <f>+'Individual 2'!M33</f>
        <v>16214.47396635676</v>
      </c>
      <c r="G34" s="26">
        <f>+'Individual 2'!AE33</f>
        <v>-28898.001618146631</v>
      </c>
      <c r="I34" s="29" t="s">
        <v>35</v>
      </c>
      <c r="J34" s="26">
        <f>+'Individual 2'!N33</f>
        <v>129827.48744995942</v>
      </c>
      <c r="K34" s="26">
        <f>+'Individual 2'!L33</f>
        <v>1232670.2180952134</v>
      </c>
      <c r="M34" s="29" t="s">
        <v>35</v>
      </c>
      <c r="N34" s="26">
        <f>+'Individual 2'!P33</f>
        <v>1645665.2600689763</v>
      </c>
      <c r="O34" s="43">
        <f>+'Individual 2'!AL33</f>
        <v>1423976.7612296974</v>
      </c>
      <c r="P34" s="51">
        <f t="shared" si="1"/>
        <v>1298976.7612296974</v>
      </c>
    </row>
    <row r="35" spans="1:18" x14ac:dyDescent="0.25">
      <c r="B35" s="20" t="s">
        <v>42</v>
      </c>
      <c r="C35" s="24">
        <v>0.1</v>
      </c>
    </row>
    <row r="36" spans="1:18" x14ac:dyDescent="0.25">
      <c r="C36" s="18"/>
    </row>
    <row r="37" spans="1:18" ht="15.75" thickBot="1" x14ac:dyDescent="0.3">
      <c r="A37" s="27"/>
      <c r="B37" s="27"/>
      <c r="C37" s="27"/>
      <c r="D37" s="27"/>
      <c r="E37" s="27"/>
      <c r="F37" s="27"/>
      <c r="G37" s="27"/>
      <c r="H37" s="27"/>
      <c r="I37" s="27"/>
      <c r="J37" s="27"/>
      <c r="K37" s="27"/>
      <c r="L37" s="27"/>
      <c r="M37" s="27"/>
      <c r="N37" s="27"/>
      <c r="O37" s="27"/>
      <c r="P37" s="27"/>
      <c r="Q37" s="27"/>
      <c r="R37" s="27"/>
    </row>
    <row r="38" spans="1:18" ht="15.75" thickTop="1" x14ac:dyDescent="0.25">
      <c r="C38" s="19"/>
    </row>
    <row r="39" spans="1:18" x14ac:dyDescent="0.25">
      <c r="B39" s="17" t="s">
        <v>102</v>
      </c>
    </row>
    <row r="40" spans="1:18" x14ac:dyDescent="0.25">
      <c r="B40" t="s">
        <v>97</v>
      </c>
      <c r="C40">
        <v>500000</v>
      </c>
    </row>
    <row r="41" spans="1:18" x14ac:dyDescent="0.25">
      <c r="B41" t="s">
        <v>101</v>
      </c>
      <c r="C41" s="2">
        <v>5.8000000000000003E-2</v>
      </c>
    </row>
    <row r="42" spans="1:18" x14ac:dyDescent="0.25">
      <c r="B42" t="s">
        <v>100</v>
      </c>
      <c r="C42" s="2">
        <v>0</v>
      </c>
    </row>
    <row r="43" spans="1:18" x14ac:dyDescent="0.25">
      <c r="B43" t="s">
        <v>98</v>
      </c>
      <c r="C43">
        <v>30</v>
      </c>
    </row>
    <row r="44" spans="1:18" x14ac:dyDescent="0.25">
      <c r="B44" s="17" t="s">
        <v>99</v>
      </c>
      <c r="C44" s="1">
        <f>+C40*(1+(C41*(1-C42))/1)^(1*C43)</f>
        <v>2713563.7897131038</v>
      </c>
    </row>
    <row r="46" spans="1:18" x14ac:dyDescent="0.25">
      <c r="B46" s="39"/>
      <c r="C46" s="39"/>
    </row>
    <row r="47" spans="1:18" x14ac:dyDescent="0.25">
      <c r="C47" s="18"/>
    </row>
    <row r="48" spans="1:18" x14ac:dyDescent="0.25">
      <c r="C48" s="18"/>
    </row>
    <row r="49" spans="2:3" x14ac:dyDescent="0.25">
      <c r="C49" s="19"/>
    </row>
    <row r="50" spans="2:3" x14ac:dyDescent="0.25">
      <c r="C50" s="19"/>
    </row>
    <row r="51" spans="2:3" x14ac:dyDescent="0.25">
      <c r="C51" s="19"/>
    </row>
    <row r="52" spans="2:3" x14ac:dyDescent="0.25">
      <c r="C52" s="19"/>
    </row>
    <row r="53" spans="2:3" x14ac:dyDescent="0.25">
      <c r="C53" s="18"/>
    </row>
    <row r="54" spans="2:3" x14ac:dyDescent="0.25">
      <c r="C54" s="19"/>
    </row>
    <row r="55" spans="2:3" x14ac:dyDescent="0.25">
      <c r="C55" s="19"/>
    </row>
    <row r="56" spans="2:3" x14ac:dyDescent="0.25">
      <c r="C56" s="19"/>
    </row>
    <row r="60" spans="2:3" x14ac:dyDescent="0.25">
      <c r="B60" s="10" t="s">
        <v>58</v>
      </c>
      <c r="C60" s="10">
        <v>5.8659999999999997E-2</v>
      </c>
    </row>
    <row r="61" spans="2:3" x14ac:dyDescent="0.25">
      <c r="B61" s="10" t="s">
        <v>59</v>
      </c>
      <c r="C61" s="10">
        <v>4.8480000000000002E-2</v>
      </c>
    </row>
    <row r="62" spans="2:3" x14ac:dyDescent="0.25">
      <c r="B62" s="10" t="s">
        <v>74</v>
      </c>
      <c r="C62" s="11" t="s">
        <v>71</v>
      </c>
    </row>
    <row r="63" spans="2:3" x14ac:dyDescent="0.25">
      <c r="B63" s="10" t="s">
        <v>75</v>
      </c>
      <c r="C63" s="12">
        <v>5.1900000000000002E-2</v>
      </c>
    </row>
  </sheetData>
  <sortState xmlns:xlrd2="http://schemas.microsoft.com/office/spreadsheetml/2017/richdata2" ref="E12:G20">
    <sortCondition ref="G11:G20"/>
  </sortState>
  <mergeCells count="12">
    <mergeCell ref="C1:R7"/>
    <mergeCell ref="B23:P23"/>
    <mergeCell ref="M10:P10"/>
    <mergeCell ref="M24:P24"/>
    <mergeCell ref="B46:C46"/>
    <mergeCell ref="E10:G10"/>
    <mergeCell ref="B10:C10"/>
    <mergeCell ref="B22:C22"/>
    <mergeCell ref="I10:K10"/>
    <mergeCell ref="B24:C24"/>
    <mergeCell ref="E24:G24"/>
    <mergeCell ref="I24:K24"/>
  </mergeCells>
  <conditionalFormatting sqref="F12:G20 J12:K20 N12:O20">
    <cfRule type="cellIs" dxfId="9" priority="5" operator="lessThan">
      <formula>0</formula>
    </cfRule>
    <cfRule type="cellIs" dxfId="8" priority="6" operator="greaterThan">
      <formula>0</formula>
    </cfRule>
  </conditionalFormatting>
  <conditionalFormatting sqref="F26:G34 J26:K34 N26:O34">
    <cfRule type="cellIs" dxfId="7" priority="3" operator="lessThan">
      <formula>0</formula>
    </cfRule>
    <cfRule type="cellIs" dxfId="6" priority="4" operator="greaterThan">
      <formula>0</formula>
    </cfRule>
  </conditionalFormatting>
  <conditionalFormatting sqref="P12:P20 P26:P34">
    <cfRule type="cellIs" dxfId="5" priority="1" operator="lessThan">
      <formula>0</formula>
    </cfRule>
    <cfRule type="cellIs" dxfId="4" priority="2" operator="greaterThan">
      <formula>0</formula>
    </cfRule>
  </conditionalFormatting>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53773-84DA-43BF-A507-C5132E62AA09}">
  <dimension ref="A1:AL41"/>
  <sheetViews>
    <sheetView workbookViewId="0">
      <selection activeCell="AL4" sqref="AL4"/>
    </sheetView>
  </sheetViews>
  <sheetFormatPr defaultRowHeight="15" x14ac:dyDescent="0.25"/>
  <cols>
    <col min="1" max="1" width="42.85546875" bestFit="1" customWidth="1"/>
    <col min="2" max="2" width="14.28515625" bestFit="1" customWidth="1"/>
    <col min="5" max="5" width="21.7109375" bestFit="1" customWidth="1"/>
    <col min="6" max="6" width="17.7109375" bestFit="1" customWidth="1"/>
    <col min="7" max="8" width="17.7109375" customWidth="1"/>
    <col min="9" max="9" width="13.140625" bestFit="1" customWidth="1"/>
    <col min="10" max="10" width="12.85546875" bestFit="1" customWidth="1"/>
    <col min="11" max="11" width="12.140625" bestFit="1" customWidth="1"/>
    <col min="12" max="12" width="20.5703125" bestFit="1" customWidth="1"/>
    <col min="13" max="13" width="12.5703125" bestFit="1" customWidth="1"/>
    <col min="14" max="14" width="14.28515625" bestFit="1" customWidth="1"/>
    <col min="15" max="15" width="14.42578125" customWidth="1"/>
    <col min="16" max="16" width="15.28515625" bestFit="1" customWidth="1"/>
    <col min="18" max="18" width="18.7109375" bestFit="1" customWidth="1"/>
    <col min="19" max="19" width="14.28515625" bestFit="1" customWidth="1"/>
    <col min="24" max="25" width="12.5703125" bestFit="1" customWidth="1"/>
    <col min="26" max="26" width="14" bestFit="1" customWidth="1"/>
    <col min="27" max="27" width="15.5703125" bestFit="1" customWidth="1"/>
    <col min="28" max="28" width="14" bestFit="1" customWidth="1"/>
    <col min="29" max="29" width="21.42578125" bestFit="1" customWidth="1"/>
    <col min="30" max="30" width="17.7109375" bestFit="1" customWidth="1"/>
    <col min="31" max="31" width="23.5703125" bestFit="1" customWidth="1"/>
    <col min="33" max="33" width="14.28515625" bestFit="1" customWidth="1"/>
    <col min="34" max="34" width="18.7109375" bestFit="1" customWidth="1"/>
    <col min="35" max="35" width="12.85546875" bestFit="1" customWidth="1"/>
    <col min="36" max="36" width="14.28515625" bestFit="1" customWidth="1"/>
    <col min="37" max="37" width="13.140625" bestFit="1" customWidth="1"/>
    <col min="38" max="38" width="14.28515625" bestFit="1" customWidth="1"/>
  </cols>
  <sheetData>
    <row r="1" spans="1:38" x14ac:dyDescent="0.25">
      <c r="E1" s="39" t="s">
        <v>93</v>
      </c>
      <c r="F1" s="39"/>
      <c r="G1" s="39"/>
      <c r="H1" s="39"/>
      <c r="I1" s="39"/>
      <c r="J1" s="39"/>
      <c r="K1" s="39"/>
      <c r="L1" s="39"/>
      <c r="M1" s="39" t="s">
        <v>43</v>
      </c>
      <c r="N1" s="39"/>
      <c r="O1" s="39"/>
      <c r="X1" s="40" t="s">
        <v>104</v>
      </c>
      <c r="Y1" s="40"/>
      <c r="Z1" s="40"/>
      <c r="AA1" s="40"/>
      <c r="AB1" s="40"/>
      <c r="AC1" s="40"/>
      <c r="AD1" s="40"/>
      <c r="AE1" s="40"/>
      <c r="AG1" s="40" t="s">
        <v>91</v>
      </c>
      <c r="AH1" s="40"/>
      <c r="AI1" s="40"/>
      <c r="AJ1" s="40"/>
      <c r="AK1" s="40"/>
      <c r="AL1" s="40"/>
    </row>
    <row r="2" spans="1:38" x14ac:dyDescent="0.25">
      <c r="A2" s="39" t="s">
        <v>48</v>
      </c>
      <c r="B2" s="39"/>
      <c r="D2" s="17" t="s">
        <v>36</v>
      </c>
      <c r="E2" s="17" t="s">
        <v>0</v>
      </c>
      <c r="F2" s="17" t="s">
        <v>38</v>
      </c>
      <c r="G2" s="17" t="s">
        <v>73</v>
      </c>
      <c r="H2" s="17" t="s">
        <v>90</v>
      </c>
      <c r="I2" s="17" t="s">
        <v>39</v>
      </c>
      <c r="J2" s="17" t="s">
        <v>41</v>
      </c>
      <c r="K2" s="17" t="s">
        <v>40</v>
      </c>
      <c r="L2" s="17" t="s">
        <v>78</v>
      </c>
      <c r="M2" s="17" t="s">
        <v>44</v>
      </c>
      <c r="N2" s="17" t="s">
        <v>45</v>
      </c>
      <c r="O2" s="17" t="s">
        <v>46</v>
      </c>
      <c r="P2" s="17" t="s">
        <v>47</v>
      </c>
      <c r="X2" s="17" t="s">
        <v>36</v>
      </c>
      <c r="Y2" s="17" t="s">
        <v>53</v>
      </c>
      <c r="Z2" s="17" t="s">
        <v>54</v>
      </c>
      <c r="AA2" s="17" t="s">
        <v>55</v>
      </c>
      <c r="AB2" s="17" t="s">
        <v>56</v>
      </c>
      <c r="AC2" s="17" t="s">
        <v>76</v>
      </c>
      <c r="AD2" s="17" t="s">
        <v>57</v>
      </c>
      <c r="AE2" s="17" t="s">
        <v>77</v>
      </c>
      <c r="AG2" s="17" t="s">
        <v>49</v>
      </c>
      <c r="AH2" s="17" t="s">
        <v>50</v>
      </c>
      <c r="AI2" s="17" t="s">
        <v>51</v>
      </c>
      <c r="AJ2" s="17" t="s">
        <v>64</v>
      </c>
      <c r="AK2" s="17" t="s">
        <v>45</v>
      </c>
      <c r="AL2" s="17" t="s">
        <v>86</v>
      </c>
    </row>
    <row r="3" spans="1:38" x14ac:dyDescent="0.25">
      <c r="A3" s="13" t="s">
        <v>0</v>
      </c>
      <c r="B3" s="14">
        <f>+Compare!$C11</f>
        <v>500000</v>
      </c>
      <c r="D3" s="17" t="s">
        <v>5</v>
      </c>
      <c r="E3" s="3">
        <f>+B3</f>
        <v>500000</v>
      </c>
      <c r="F3" s="1">
        <f>+E3*$B$6</f>
        <v>17500</v>
      </c>
      <c r="G3" s="2">
        <f t="shared" ref="G3:G33" si="0">+F3/E3</f>
        <v>3.5000000000000003E-2</v>
      </c>
      <c r="H3" s="15">
        <f>+$B$8</f>
        <v>0</v>
      </c>
      <c r="I3" s="1">
        <f>+F3*$B$9+5000+H3</f>
        <v>7625</v>
      </c>
      <c r="J3" s="3">
        <f>+B10</f>
        <v>400000</v>
      </c>
      <c r="K3" s="1">
        <f t="shared" ref="K3:K33" si="1">+J3*$B$11</f>
        <v>26000</v>
      </c>
      <c r="L3" s="3">
        <f t="shared" ref="L3:L33" si="2">+E3*0.8-J3</f>
        <v>0</v>
      </c>
      <c r="M3" s="3">
        <v>0</v>
      </c>
      <c r="N3" s="3">
        <f>+M3</f>
        <v>0</v>
      </c>
      <c r="O3">
        <f>+N3*$B$13</f>
        <v>0</v>
      </c>
      <c r="P3" s="3">
        <f t="shared" ref="P3:P33" si="3">+N3+E3-J3-$B$4</f>
        <v>-25000</v>
      </c>
      <c r="R3" s="4" t="s">
        <v>52</v>
      </c>
      <c r="S3" s="5" t="s">
        <v>10</v>
      </c>
      <c r="X3" t="s">
        <v>5</v>
      </c>
      <c r="Y3" s="3">
        <f t="shared" ref="Y3:Y6" si="4">+M3</f>
        <v>0</v>
      </c>
      <c r="Z3">
        <f t="shared" ref="Z3:Z33" si="5">+F3*0.8</f>
        <v>14000</v>
      </c>
      <c r="AA3" s="3">
        <f>+I3</f>
        <v>7625</v>
      </c>
      <c r="AB3">
        <f t="shared" ref="AB3:AB33" si="6">+J3*($B$11+0.03)</f>
        <v>38000</v>
      </c>
      <c r="AC3" s="9">
        <f t="shared" ref="AC3:AC33" si="7">+PMT(($B$11+0.03)/12,300,$J3)*12</f>
        <v>-41937.439721427574</v>
      </c>
      <c r="AD3">
        <f t="shared" ref="AD3:AD33" si="8">+(Z3-AA3+AC3)*$B$12</f>
        <v>-13158.102696928203</v>
      </c>
      <c r="AE3">
        <f>+AD3*22</f>
        <v>-289478.25933242048</v>
      </c>
      <c r="AG3" s="3">
        <f t="shared" ref="AG3:AG33" si="9">+E3</f>
        <v>500000</v>
      </c>
      <c r="AH3">
        <f>+(AG3-$B$3)*0.5*0.45</f>
        <v>0</v>
      </c>
      <c r="AI3" s="3">
        <f>+J3</f>
        <v>400000</v>
      </c>
      <c r="AJ3" s="3">
        <f>+AG3-AH3-AI3</f>
        <v>100000</v>
      </c>
      <c r="AK3" s="3">
        <f>+N3</f>
        <v>0</v>
      </c>
      <c r="AL3" s="3">
        <f>+AJ3+AK3</f>
        <v>100000</v>
      </c>
    </row>
    <row r="4" spans="1:38" x14ac:dyDescent="0.25">
      <c r="A4" s="13" t="s">
        <v>4</v>
      </c>
      <c r="B4" s="14">
        <f>+Compare!$C12</f>
        <v>125000</v>
      </c>
      <c r="D4" s="17" t="s">
        <v>6</v>
      </c>
      <c r="E4" s="1">
        <f>+E3*(1+$B$5)</f>
        <v>529000</v>
      </c>
      <c r="F4" s="1">
        <f>+F3*(1+$B$7)</f>
        <v>18025</v>
      </c>
      <c r="G4" s="2">
        <f t="shared" si="0"/>
        <v>3.4073724007561437E-2</v>
      </c>
      <c r="H4" s="15">
        <f t="shared" ref="H4:H33" si="10">+$B$8</f>
        <v>0</v>
      </c>
      <c r="I4" s="1">
        <f t="shared" ref="I4:I33" si="11">+F4*$B$9+5000+H4</f>
        <v>7703.75</v>
      </c>
      <c r="J4" s="3">
        <f>+J3</f>
        <v>400000</v>
      </c>
      <c r="K4" s="1">
        <f t="shared" si="1"/>
        <v>26000</v>
      </c>
      <c r="L4" s="3">
        <f t="shared" si="2"/>
        <v>23200</v>
      </c>
      <c r="M4" s="3">
        <f>+(F4-I4-K4)*(1-$B$12)+$B$14</f>
        <v>-9877.6124999999993</v>
      </c>
      <c r="N4" s="3">
        <f>+N3+M4</f>
        <v>-9877.6124999999993</v>
      </c>
      <c r="O4" s="1">
        <f>+N4*$B$13*(1-$B$12)</f>
        <v>-622.28958750000004</v>
      </c>
      <c r="P4" s="1">
        <f>+N4+E4-J4-$B$4</f>
        <v>-5877.6124999999884</v>
      </c>
      <c r="R4" t="s">
        <v>49</v>
      </c>
      <c r="S4" s="6">
        <f>VLOOKUP(S3,D2:P33,2,FALSE)</f>
        <v>662824.1794183841</v>
      </c>
      <c r="T4" t="s">
        <v>87</v>
      </c>
      <c r="X4" t="s">
        <v>6</v>
      </c>
      <c r="Y4" s="3">
        <f t="shared" si="4"/>
        <v>-9877.6124999999993</v>
      </c>
      <c r="Z4">
        <f t="shared" si="5"/>
        <v>14420</v>
      </c>
      <c r="AA4" s="3">
        <f>+I4</f>
        <v>7703.75</v>
      </c>
      <c r="AB4">
        <f t="shared" si="6"/>
        <v>38000</v>
      </c>
      <c r="AC4" s="9">
        <f t="shared" si="7"/>
        <v>-41937.439721427574</v>
      </c>
      <c r="AD4">
        <f t="shared" si="8"/>
        <v>-13031.840196928202</v>
      </c>
      <c r="AE4">
        <f t="shared" ref="AE4:AE7" si="12">+AD4*22</f>
        <v>-286700.48433242046</v>
      </c>
      <c r="AG4" s="3">
        <f t="shared" si="9"/>
        <v>529000</v>
      </c>
      <c r="AH4">
        <f t="shared" ref="AH4:AH7" si="13">+(AG4-$B$3)*0.5*0.45</f>
        <v>6525</v>
      </c>
      <c r="AI4" s="3">
        <f t="shared" ref="AI4:AI7" si="14">+J4</f>
        <v>400000</v>
      </c>
      <c r="AJ4" s="3">
        <f t="shared" ref="AJ4:AJ7" si="15">+AG4-AH4-AI4</f>
        <v>122475</v>
      </c>
      <c r="AK4" s="3">
        <f t="shared" ref="AK4:AK7" si="16">+N4</f>
        <v>-9877.6124999999993</v>
      </c>
      <c r="AL4" s="3">
        <f t="shared" ref="AL4:AL7" si="17">+AJ4+AK4</f>
        <v>112597.3875</v>
      </c>
    </row>
    <row r="5" spans="1:38" x14ac:dyDescent="0.25">
      <c r="A5" s="13" t="s">
        <v>1</v>
      </c>
      <c r="B5" s="14">
        <f>+Compare!$C13</f>
        <v>5.8000000000000003E-2</v>
      </c>
      <c r="D5" s="17" t="s">
        <v>7</v>
      </c>
      <c r="E5" s="1">
        <f t="shared" ref="E5:E6" si="18">+E4*(1+$B$5)</f>
        <v>559682</v>
      </c>
      <c r="F5" s="1">
        <f t="shared" ref="F5:F7" si="19">+F4*(1+$B$7)</f>
        <v>18565.75</v>
      </c>
      <c r="G5" s="2">
        <f t="shared" si="0"/>
        <v>3.3171961935527676E-2</v>
      </c>
      <c r="H5" s="15">
        <f t="shared" si="10"/>
        <v>0</v>
      </c>
      <c r="I5" s="1">
        <f t="shared" si="11"/>
        <v>7784.8624999999993</v>
      </c>
      <c r="J5" s="3">
        <f t="shared" ref="J5:J6" si="20">+J4</f>
        <v>400000</v>
      </c>
      <c r="K5" s="1">
        <f t="shared" si="1"/>
        <v>26000</v>
      </c>
      <c r="L5" s="3">
        <f t="shared" si="2"/>
        <v>47745.600000000035</v>
      </c>
      <c r="M5" s="3">
        <f t="shared" ref="M5:M33" si="21">+(F5-I5-K5)*(1-$B$12)+$B$14</f>
        <v>-9588.0408749999988</v>
      </c>
      <c r="N5" s="3">
        <f>+N4+M5+O4</f>
        <v>-20087.942962499998</v>
      </c>
      <c r="O5" s="1">
        <f t="shared" ref="O5:O33" si="22">+N5*$B$13*(1-$B$12)</f>
        <v>-1265.5404066374999</v>
      </c>
      <c r="P5" s="1">
        <f t="shared" si="3"/>
        <v>14594.057037499966</v>
      </c>
      <c r="R5" t="s">
        <v>50</v>
      </c>
      <c r="S5" s="7">
        <f>+(S4-B3)*0.5*0.45</f>
        <v>36635.44036913642</v>
      </c>
      <c r="X5" t="s">
        <v>7</v>
      </c>
      <c r="Y5" s="3">
        <f t="shared" si="4"/>
        <v>-9588.0408749999988</v>
      </c>
      <c r="Z5">
        <f t="shared" si="5"/>
        <v>14852.6</v>
      </c>
      <c r="AA5" s="3">
        <f>+I5</f>
        <v>7784.8624999999993</v>
      </c>
      <c r="AB5">
        <f t="shared" si="6"/>
        <v>38000</v>
      </c>
      <c r="AC5" s="9">
        <f t="shared" si="7"/>
        <v>-41937.439721427574</v>
      </c>
      <c r="AD5">
        <f t="shared" si="8"/>
        <v>-12901.789821928201</v>
      </c>
      <c r="AE5">
        <f t="shared" si="12"/>
        <v>-283839.37608242041</v>
      </c>
      <c r="AG5" s="3">
        <f t="shared" si="9"/>
        <v>559682</v>
      </c>
      <c r="AH5">
        <f t="shared" si="13"/>
        <v>13428.45</v>
      </c>
      <c r="AI5" s="3">
        <f t="shared" si="14"/>
        <v>400000</v>
      </c>
      <c r="AJ5" s="3">
        <f t="shared" si="15"/>
        <v>146253.55000000005</v>
      </c>
      <c r="AK5" s="3">
        <f t="shared" si="16"/>
        <v>-20087.942962499998</v>
      </c>
      <c r="AL5" s="3">
        <f t="shared" si="17"/>
        <v>126165.60703750004</v>
      </c>
    </row>
    <row r="6" spans="1:38" x14ac:dyDescent="0.25">
      <c r="A6" s="13" t="s">
        <v>68</v>
      </c>
      <c r="B6" s="14">
        <f>+Compare!$C14</f>
        <v>3.5000000000000003E-2</v>
      </c>
      <c r="D6" s="17" t="s">
        <v>8</v>
      </c>
      <c r="E6" s="1">
        <f t="shared" si="18"/>
        <v>592143.55599999998</v>
      </c>
      <c r="F6" s="1">
        <f t="shared" si="19"/>
        <v>19122.7225</v>
      </c>
      <c r="G6" s="2">
        <f t="shared" si="0"/>
        <v>3.2294065022300103E-2</v>
      </c>
      <c r="H6" s="15">
        <f t="shared" si="10"/>
        <v>0</v>
      </c>
      <c r="I6" s="1">
        <f t="shared" si="11"/>
        <v>7868.408375</v>
      </c>
      <c r="J6" s="3">
        <f t="shared" si="20"/>
        <v>400000</v>
      </c>
      <c r="K6" s="1">
        <f t="shared" si="1"/>
        <v>26000</v>
      </c>
      <c r="L6" s="3">
        <f t="shared" si="2"/>
        <v>73714.844800000021</v>
      </c>
      <c r="M6" s="3">
        <f t="shared" si="21"/>
        <v>-9289.782101249999</v>
      </c>
      <c r="N6" s="3">
        <f t="shared" ref="N6" si="23">+N5+M6+O5</f>
        <v>-30643.265470387498</v>
      </c>
      <c r="O6" s="1">
        <f t="shared" si="22"/>
        <v>-1930.5257246344127</v>
      </c>
      <c r="P6" s="1">
        <f t="shared" si="3"/>
        <v>36500.290529612452</v>
      </c>
      <c r="R6" t="s">
        <v>51</v>
      </c>
      <c r="S6" s="6">
        <f>VLOOKUP(S3,D2:K33,7,FALSE)</f>
        <v>400000</v>
      </c>
      <c r="X6" t="s">
        <v>8</v>
      </c>
      <c r="Y6" s="3">
        <f t="shared" si="4"/>
        <v>-9289.782101249999</v>
      </c>
      <c r="Z6">
        <f t="shared" si="5"/>
        <v>15298.178</v>
      </c>
      <c r="AA6" s="3">
        <f>+I6</f>
        <v>7868.408375</v>
      </c>
      <c r="AB6">
        <f t="shared" si="6"/>
        <v>38000</v>
      </c>
      <c r="AC6" s="9">
        <f t="shared" si="7"/>
        <v>-41937.439721427574</v>
      </c>
      <c r="AD6">
        <f t="shared" si="8"/>
        <v>-12767.837935678202</v>
      </c>
      <c r="AE6">
        <f t="shared" si="12"/>
        <v>-280892.43458492047</v>
      </c>
      <c r="AG6" s="3">
        <f t="shared" si="9"/>
        <v>592143.55599999998</v>
      </c>
      <c r="AH6">
        <f t="shared" si="13"/>
        <v>20732.300099999997</v>
      </c>
      <c r="AI6" s="3">
        <f t="shared" si="14"/>
        <v>400000</v>
      </c>
      <c r="AJ6" s="3">
        <f t="shared" si="15"/>
        <v>171411.25589999999</v>
      </c>
      <c r="AK6" s="3">
        <f t="shared" si="16"/>
        <v>-30643.265470387498</v>
      </c>
      <c r="AL6" s="3">
        <f t="shared" si="17"/>
        <v>140767.99042961249</v>
      </c>
    </row>
    <row r="7" spans="1:38" x14ac:dyDescent="0.25">
      <c r="A7" s="13" t="s">
        <v>69</v>
      </c>
      <c r="B7" s="14">
        <f>+Compare!$C15</f>
        <v>0.03</v>
      </c>
      <c r="D7" s="17" t="s">
        <v>9</v>
      </c>
      <c r="E7" s="1">
        <f t="shared" ref="E7" si="24">+E6*(1+$B$5)</f>
        <v>626487.88224800001</v>
      </c>
      <c r="F7" s="1">
        <f t="shared" si="19"/>
        <v>19696.404175</v>
      </c>
      <c r="G7" s="2">
        <f t="shared" si="0"/>
        <v>3.1439401675774199E-2</v>
      </c>
      <c r="H7" s="15">
        <f t="shared" si="10"/>
        <v>0</v>
      </c>
      <c r="I7" s="1">
        <f t="shared" si="11"/>
        <v>7954.4606262500001</v>
      </c>
      <c r="J7" s="3">
        <f t="shared" ref="J7" si="25">+J6</f>
        <v>400000</v>
      </c>
      <c r="K7" s="1">
        <f t="shared" si="1"/>
        <v>26000</v>
      </c>
      <c r="L7" s="3">
        <f t="shared" si="2"/>
        <v>101190.30579840002</v>
      </c>
      <c r="M7" s="3">
        <f t="shared" si="21"/>
        <v>-8982.575564287501</v>
      </c>
      <c r="N7" s="3">
        <f t="shared" ref="N7" si="26">+N6+M7+O6</f>
        <v>-41556.366759309414</v>
      </c>
      <c r="O7" s="1">
        <f t="shared" si="22"/>
        <v>-2618.0511058364932</v>
      </c>
      <c r="P7" s="1">
        <f t="shared" si="3"/>
        <v>59931.51548869058</v>
      </c>
      <c r="R7" t="s">
        <v>64</v>
      </c>
      <c r="S7" s="6">
        <f>+S4-S5-S6</f>
        <v>226188.7390492477</v>
      </c>
      <c r="X7" t="s">
        <v>9</v>
      </c>
      <c r="Y7" s="3">
        <f t="shared" ref="Y7" si="27">+M7</f>
        <v>-8982.575564287501</v>
      </c>
      <c r="Z7">
        <f t="shared" si="5"/>
        <v>15757.12334</v>
      </c>
      <c r="AA7" s="3">
        <f t="shared" ref="AA7" si="28">+I7</f>
        <v>7954.4606262500001</v>
      </c>
      <c r="AB7">
        <f t="shared" si="6"/>
        <v>38000</v>
      </c>
      <c r="AC7" s="9">
        <f t="shared" si="7"/>
        <v>-41937.439721427574</v>
      </c>
      <c r="AD7">
        <f t="shared" si="8"/>
        <v>-12629.867492840704</v>
      </c>
      <c r="AE7">
        <f t="shared" si="12"/>
        <v>-277857.0848424955</v>
      </c>
      <c r="AG7" s="3">
        <f t="shared" si="9"/>
        <v>626487.88224800001</v>
      </c>
      <c r="AH7">
        <f t="shared" si="13"/>
        <v>28459.773505800003</v>
      </c>
      <c r="AI7" s="3">
        <f t="shared" si="14"/>
        <v>400000</v>
      </c>
      <c r="AJ7" s="3">
        <f t="shared" si="15"/>
        <v>198028.10874219995</v>
      </c>
      <c r="AK7" s="3">
        <f t="shared" si="16"/>
        <v>-41556.366759309414</v>
      </c>
      <c r="AL7" s="3">
        <f t="shared" si="17"/>
        <v>156471.74198289053</v>
      </c>
    </row>
    <row r="8" spans="1:38" x14ac:dyDescent="0.25">
      <c r="A8" s="13" t="s">
        <v>89</v>
      </c>
      <c r="B8" s="14">
        <f>+Compare!$C16</f>
        <v>0</v>
      </c>
      <c r="D8" s="17" t="s">
        <v>10</v>
      </c>
      <c r="E8" s="1">
        <f t="shared" ref="E8:E33" si="29">+E7*(1+$B$5)</f>
        <v>662824.1794183841</v>
      </c>
      <c r="F8" s="1">
        <f t="shared" ref="F8:F33" si="30">+F7*(1+$B$7)</f>
        <v>20287.29630025</v>
      </c>
      <c r="G8" s="2">
        <f t="shared" si="0"/>
        <v>3.0607357018948411E-2</v>
      </c>
      <c r="H8" s="15">
        <f t="shared" si="10"/>
        <v>0</v>
      </c>
      <c r="I8" s="1">
        <f t="shared" si="11"/>
        <v>8043.0944450375</v>
      </c>
      <c r="J8" s="3">
        <f t="shared" ref="J8:J33" si="31">+J7</f>
        <v>400000</v>
      </c>
      <c r="K8" s="1">
        <f t="shared" si="1"/>
        <v>26000</v>
      </c>
      <c r="L8" s="3">
        <f t="shared" si="2"/>
        <v>130259.34353470732</v>
      </c>
      <c r="M8" s="3">
        <f t="shared" si="21"/>
        <v>-8666.1528312161245</v>
      </c>
      <c r="N8" s="3">
        <f t="shared" ref="N8:N33" si="32">+N7+M8+O7</f>
        <v>-52840.570696362032</v>
      </c>
      <c r="O8" s="1">
        <f t="shared" si="22"/>
        <v>-3328.9559538708086</v>
      </c>
      <c r="P8" s="1">
        <f t="shared" si="3"/>
        <v>84983.608722022036</v>
      </c>
      <c r="R8" t="s">
        <v>45</v>
      </c>
      <c r="S8" s="6">
        <f>VLOOKUP(S3,D2:P33,9,FALSE)</f>
        <v>130259.34353470732</v>
      </c>
      <c r="X8" t="s">
        <v>10</v>
      </c>
      <c r="Y8" s="3">
        <f t="shared" ref="Y8:Y33" si="33">+M8</f>
        <v>-8666.1528312161245</v>
      </c>
      <c r="Z8">
        <f t="shared" si="5"/>
        <v>16229.8370402</v>
      </c>
      <c r="AA8" s="3">
        <f t="shared" ref="AA8:AA33" si="34">+I8</f>
        <v>8043.0944450375</v>
      </c>
      <c r="AB8">
        <f t="shared" si="6"/>
        <v>38000</v>
      </c>
      <c r="AC8" s="9">
        <f t="shared" si="7"/>
        <v>-41937.439721427574</v>
      </c>
      <c r="AD8">
        <f t="shared" si="8"/>
        <v>-12487.757936718079</v>
      </c>
      <c r="AE8">
        <f t="shared" ref="AE8:AE33" si="35">+AD8*22</f>
        <v>-274730.67460779776</v>
      </c>
      <c r="AG8" s="3">
        <f t="shared" si="9"/>
        <v>662824.1794183841</v>
      </c>
      <c r="AH8">
        <f t="shared" ref="AH8:AH33" si="36">+(AG8-$B$3)*0.5*0.45</f>
        <v>36635.44036913642</v>
      </c>
      <c r="AI8" s="3">
        <f t="shared" ref="AI8:AI33" si="37">+J8</f>
        <v>400000</v>
      </c>
      <c r="AJ8" s="3">
        <f t="shared" ref="AJ8:AJ33" si="38">+AG8-AH8-AI8</f>
        <v>226188.7390492477</v>
      </c>
      <c r="AK8" s="3">
        <f t="shared" ref="AK8:AK33" si="39">+N8</f>
        <v>-52840.570696362032</v>
      </c>
      <c r="AL8" s="3">
        <f t="shared" ref="AL8:AL33" si="40">+AJ8+AK8</f>
        <v>173348.16835288567</v>
      </c>
    </row>
    <row r="9" spans="1:38" x14ac:dyDescent="0.25">
      <c r="A9" s="13" t="s">
        <v>72</v>
      </c>
      <c r="B9" s="14">
        <f>+Compare!$C17</f>
        <v>0.15</v>
      </c>
      <c r="D9" s="17" t="s">
        <v>11</v>
      </c>
      <c r="E9" s="1">
        <f t="shared" si="29"/>
        <v>701267.98182465043</v>
      </c>
      <c r="F9" s="1">
        <f t="shared" si="30"/>
        <v>20895.915189257499</v>
      </c>
      <c r="G9" s="2">
        <f t="shared" si="0"/>
        <v>2.9797332447558469E-2</v>
      </c>
      <c r="H9" s="15">
        <f t="shared" si="10"/>
        <v>0</v>
      </c>
      <c r="I9" s="1">
        <f t="shared" si="11"/>
        <v>8134.3872783886254</v>
      </c>
      <c r="J9" s="3">
        <f t="shared" si="31"/>
        <v>400000</v>
      </c>
      <c r="K9" s="1">
        <f t="shared" si="1"/>
        <v>26000</v>
      </c>
      <c r="L9" s="3">
        <f t="shared" si="2"/>
        <v>161014.38545972039</v>
      </c>
      <c r="M9" s="3">
        <f t="shared" si="21"/>
        <v>-8340.2374161526095</v>
      </c>
      <c r="N9" s="3">
        <f t="shared" si="32"/>
        <v>-64509.764066385447</v>
      </c>
      <c r="O9" s="1">
        <f t="shared" si="22"/>
        <v>-4064.1151361822835</v>
      </c>
      <c r="P9" s="1">
        <f t="shared" si="3"/>
        <v>111758.21775826497</v>
      </c>
      <c r="R9" t="s">
        <v>86</v>
      </c>
      <c r="S9" s="6">
        <f>+S7+S8</f>
        <v>356448.08258395502</v>
      </c>
      <c r="X9" t="s">
        <v>11</v>
      </c>
      <c r="Y9" s="3">
        <f t="shared" si="33"/>
        <v>-8340.2374161526095</v>
      </c>
      <c r="Z9">
        <f t="shared" si="5"/>
        <v>16716.732151405999</v>
      </c>
      <c r="AA9" s="3">
        <f t="shared" si="34"/>
        <v>8134.3872783886254</v>
      </c>
      <c r="AB9">
        <f t="shared" si="6"/>
        <v>38000</v>
      </c>
      <c r="AC9" s="9">
        <f t="shared" si="7"/>
        <v>-41937.439721427574</v>
      </c>
      <c r="AD9">
        <f t="shared" si="8"/>
        <v>-12341.385093911773</v>
      </c>
      <c r="AE9">
        <f t="shared" si="35"/>
        <v>-271510.47206605901</v>
      </c>
      <c r="AG9" s="3">
        <f t="shared" si="9"/>
        <v>701267.98182465043</v>
      </c>
      <c r="AH9">
        <f t="shared" si="36"/>
        <v>45285.295910546345</v>
      </c>
      <c r="AI9" s="3">
        <f t="shared" si="37"/>
        <v>400000</v>
      </c>
      <c r="AJ9" s="3">
        <f t="shared" si="38"/>
        <v>255982.68591410411</v>
      </c>
      <c r="AK9" s="3">
        <f t="shared" si="39"/>
        <v>-64509.764066385447</v>
      </c>
      <c r="AL9" s="3">
        <f t="shared" si="40"/>
        <v>191472.92184771865</v>
      </c>
    </row>
    <row r="10" spans="1:38" x14ac:dyDescent="0.25">
      <c r="A10" s="13" t="s">
        <v>37</v>
      </c>
      <c r="B10" s="14">
        <f>+Compare!$C18</f>
        <v>400000</v>
      </c>
      <c r="D10" s="17" t="s">
        <v>12</v>
      </c>
      <c r="E10" s="1">
        <f t="shared" si="29"/>
        <v>741941.52477048023</v>
      </c>
      <c r="F10" s="1">
        <f t="shared" si="30"/>
        <v>21522.792644935224</v>
      </c>
      <c r="G10" s="2">
        <f t="shared" si="0"/>
        <v>2.9008745199418921E-2</v>
      </c>
      <c r="H10" s="15">
        <f t="shared" si="10"/>
        <v>0</v>
      </c>
      <c r="I10" s="1">
        <f t="shared" si="11"/>
        <v>8228.4188967402843</v>
      </c>
      <c r="J10" s="3">
        <f t="shared" si="31"/>
        <v>400000</v>
      </c>
      <c r="K10" s="1">
        <f t="shared" si="1"/>
        <v>26000</v>
      </c>
      <c r="L10" s="3">
        <f t="shared" si="2"/>
        <v>193553.21981638425</v>
      </c>
      <c r="M10" s="3">
        <f t="shared" si="21"/>
        <v>-8004.5445386371885</v>
      </c>
      <c r="N10" s="3">
        <f t="shared" si="32"/>
        <v>-76578.423741204926</v>
      </c>
      <c r="O10" s="1">
        <f t="shared" si="22"/>
        <v>-4824.440695695911</v>
      </c>
      <c r="P10" s="1">
        <f t="shared" si="3"/>
        <v>140363.10102927533</v>
      </c>
      <c r="X10" t="s">
        <v>12</v>
      </c>
      <c r="Y10" s="3">
        <f t="shared" si="33"/>
        <v>-8004.5445386371885</v>
      </c>
      <c r="Z10">
        <f t="shared" si="5"/>
        <v>17218.23411594818</v>
      </c>
      <c r="AA10" s="3">
        <f t="shared" si="34"/>
        <v>8228.4188967402843</v>
      </c>
      <c r="AB10">
        <f t="shared" si="6"/>
        <v>38000</v>
      </c>
      <c r="AC10" s="9">
        <f t="shared" si="7"/>
        <v>-41937.439721427574</v>
      </c>
      <c r="AD10">
        <f t="shared" si="8"/>
        <v>-12190.621065821282</v>
      </c>
      <c r="AE10">
        <f t="shared" si="35"/>
        <v>-268193.6634480682</v>
      </c>
      <c r="AG10" s="3">
        <f t="shared" si="9"/>
        <v>741941.52477048023</v>
      </c>
      <c r="AH10">
        <f t="shared" si="36"/>
        <v>54436.843073358054</v>
      </c>
      <c r="AI10" s="3">
        <f t="shared" si="37"/>
        <v>400000</v>
      </c>
      <c r="AJ10" s="3">
        <f t="shared" si="38"/>
        <v>287504.68169712217</v>
      </c>
      <c r="AK10" s="3">
        <f t="shared" si="39"/>
        <v>-76578.423741204926</v>
      </c>
      <c r="AL10" s="3">
        <f t="shared" si="40"/>
        <v>210926.25795591724</v>
      </c>
    </row>
    <row r="11" spans="1:38" x14ac:dyDescent="0.25">
      <c r="A11" s="13" t="s">
        <v>3</v>
      </c>
      <c r="B11" s="14">
        <f>+Compare!$C19</f>
        <v>6.5000000000000002E-2</v>
      </c>
      <c r="D11" s="17" t="s">
        <v>13</v>
      </c>
      <c r="E11" s="1">
        <f t="shared" si="29"/>
        <v>784974.13320716808</v>
      </c>
      <c r="F11" s="1">
        <f t="shared" si="30"/>
        <v>22168.476424283283</v>
      </c>
      <c r="G11" s="2">
        <f t="shared" si="0"/>
        <v>2.8241027935162092E-2</v>
      </c>
      <c r="H11" s="15">
        <f t="shared" si="10"/>
        <v>0</v>
      </c>
      <c r="I11" s="1">
        <f t="shared" si="11"/>
        <v>8325.2714636424917</v>
      </c>
      <c r="J11" s="3">
        <f t="shared" si="31"/>
        <v>400000</v>
      </c>
      <c r="K11" s="1">
        <f t="shared" si="1"/>
        <v>26000</v>
      </c>
      <c r="L11" s="3">
        <f t="shared" si="2"/>
        <v>227979.30656573444</v>
      </c>
      <c r="M11" s="3">
        <f t="shared" si="21"/>
        <v>-7658.7808747963018</v>
      </c>
      <c r="N11" s="3">
        <f t="shared" si="32"/>
        <v>-89061.645311697139</v>
      </c>
      <c r="O11" s="1">
        <f t="shared" si="22"/>
        <v>-5610.8836546369193</v>
      </c>
      <c r="P11" s="1">
        <f t="shared" si="3"/>
        <v>170912.48789547093</v>
      </c>
      <c r="X11" t="s">
        <v>13</v>
      </c>
      <c r="Y11" s="3">
        <f t="shared" si="33"/>
        <v>-7658.7808747963018</v>
      </c>
      <c r="Z11">
        <f t="shared" si="5"/>
        <v>17734.781139426628</v>
      </c>
      <c r="AA11" s="3">
        <f t="shared" si="34"/>
        <v>8325.2714636424917</v>
      </c>
      <c r="AB11">
        <f t="shared" si="6"/>
        <v>38000</v>
      </c>
      <c r="AC11" s="9">
        <f t="shared" si="7"/>
        <v>-41937.439721427574</v>
      </c>
      <c r="AD11">
        <f t="shared" si="8"/>
        <v>-12035.334116888071</v>
      </c>
      <c r="AE11">
        <f t="shared" si="35"/>
        <v>-264777.35057153756</v>
      </c>
      <c r="AG11" s="3">
        <f t="shared" si="9"/>
        <v>784974.13320716808</v>
      </c>
      <c r="AH11">
        <f t="shared" si="36"/>
        <v>64119.179971612823</v>
      </c>
      <c r="AI11" s="3">
        <f t="shared" si="37"/>
        <v>400000</v>
      </c>
      <c r="AJ11" s="3">
        <f t="shared" si="38"/>
        <v>320854.95323555521</v>
      </c>
      <c r="AK11" s="3">
        <f t="shared" si="39"/>
        <v>-89061.645311697139</v>
      </c>
      <c r="AL11" s="3">
        <f t="shared" si="40"/>
        <v>231793.30792385805</v>
      </c>
    </row>
    <row r="12" spans="1:38" x14ac:dyDescent="0.25">
      <c r="A12" s="13" t="s">
        <v>2</v>
      </c>
      <c r="B12" s="14">
        <f>+Compare!$C20</f>
        <v>0.37</v>
      </c>
      <c r="D12" s="17" t="s">
        <v>14</v>
      </c>
      <c r="E12" s="1">
        <f t="shared" si="29"/>
        <v>830502.63293318392</v>
      </c>
      <c r="F12" s="1">
        <f t="shared" si="30"/>
        <v>22833.530717011781</v>
      </c>
      <c r="G12" s="2">
        <f t="shared" si="0"/>
        <v>2.7493628330072732E-2</v>
      </c>
      <c r="H12" s="15">
        <f t="shared" si="10"/>
        <v>0</v>
      </c>
      <c r="I12" s="1">
        <f t="shared" si="11"/>
        <v>8425.0296075517672</v>
      </c>
      <c r="J12" s="3">
        <f t="shared" si="31"/>
        <v>400000</v>
      </c>
      <c r="K12" s="1">
        <f t="shared" si="1"/>
        <v>26000</v>
      </c>
      <c r="L12" s="3">
        <f t="shared" si="2"/>
        <v>264402.10634654714</v>
      </c>
      <c r="M12" s="3">
        <f t="shared" si="21"/>
        <v>-7302.6443010401908</v>
      </c>
      <c r="N12" s="3">
        <f t="shared" si="32"/>
        <v>-101975.17326737424</v>
      </c>
      <c r="O12" s="1">
        <f t="shared" si="22"/>
        <v>-6424.4359158445777</v>
      </c>
      <c r="P12" s="1">
        <f t="shared" si="3"/>
        <v>203527.45966580964</v>
      </c>
      <c r="X12" t="s">
        <v>14</v>
      </c>
      <c r="Y12" s="3">
        <f t="shared" si="33"/>
        <v>-7302.6443010401908</v>
      </c>
      <c r="Z12">
        <f t="shared" si="5"/>
        <v>18266.824573609425</v>
      </c>
      <c r="AA12" s="3">
        <f t="shared" si="34"/>
        <v>8425.0296075517672</v>
      </c>
      <c r="AB12">
        <f t="shared" si="6"/>
        <v>38000</v>
      </c>
      <c r="AC12" s="9">
        <f t="shared" si="7"/>
        <v>-41937.439721427574</v>
      </c>
      <c r="AD12">
        <f t="shared" si="8"/>
        <v>-11875.38855948687</v>
      </c>
      <c r="AE12">
        <f t="shared" si="35"/>
        <v>-261258.54830871115</v>
      </c>
      <c r="AG12" s="3">
        <f t="shared" si="9"/>
        <v>830502.63293318392</v>
      </c>
      <c r="AH12">
        <f t="shared" si="36"/>
        <v>74363.092409966383</v>
      </c>
      <c r="AI12" s="3">
        <f t="shared" si="37"/>
        <v>400000</v>
      </c>
      <c r="AJ12" s="3">
        <f t="shared" si="38"/>
        <v>356139.54052321753</v>
      </c>
      <c r="AK12" s="3">
        <f t="shared" si="39"/>
        <v>-101975.17326737424</v>
      </c>
      <c r="AL12" s="3">
        <f t="shared" si="40"/>
        <v>254164.3672558433</v>
      </c>
    </row>
    <row r="13" spans="1:38" x14ac:dyDescent="0.25">
      <c r="A13" s="13" t="s">
        <v>42</v>
      </c>
      <c r="B13" s="14">
        <f>+Compare!$C21</f>
        <v>0.1</v>
      </c>
      <c r="D13" s="17" t="s">
        <v>15</v>
      </c>
      <c r="E13" s="1">
        <f t="shared" si="29"/>
        <v>878671.78564330866</v>
      </c>
      <c r="F13" s="1">
        <f t="shared" si="30"/>
        <v>23518.536638522135</v>
      </c>
      <c r="G13" s="2">
        <f t="shared" si="0"/>
        <v>2.6766008676724871E-2</v>
      </c>
      <c r="H13" s="15">
        <f t="shared" si="10"/>
        <v>0</v>
      </c>
      <c r="I13" s="1">
        <f t="shared" si="11"/>
        <v>8527.7804957783192</v>
      </c>
      <c r="J13" s="3">
        <f t="shared" si="31"/>
        <v>400000</v>
      </c>
      <c r="K13" s="1">
        <f t="shared" si="1"/>
        <v>26000</v>
      </c>
      <c r="L13" s="3">
        <f t="shared" si="2"/>
        <v>302937.42851464695</v>
      </c>
      <c r="M13" s="3">
        <f t="shared" si="21"/>
        <v>-6935.8236300713961</v>
      </c>
      <c r="N13" s="3">
        <f t="shared" si="32"/>
        <v>-115335.4328132902</v>
      </c>
      <c r="O13" s="1">
        <f t="shared" si="22"/>
        <v>-7266.1322672372835</v>
      </c>
      <c r="P13" s="1">
        <f t="shared" si="3"/>
        <v>238336.3528300185</v>
      </c>
      <c r="X13" t="s">
        <v>15</v>
      </c>
      <c r="Y13" s="3">
        <f t="shared" si="33"/>
        <v>-6935.8236300713961</v>
      </c>
      <c r="Z13">
        <f t="shared" si="5"/>
        <v>18814.829310817709</v>
      </c>
      <c r="AA13" s="3">
        <f t="shared" si="34"/>
        <v>8527.7804957783192</v>
      </c>
      <c r="AB13">
        <f t="shared" si="6"/>
        <v>38000</v>
      </c>
      <c r="AC13" s="9">
        <f t="shared" si="7"/>
        <v>-41937.439721427574</v>
      </c>
      <c r="AD13">
        <f t="shared" si="8"/>
        <v>-11710.644635363627</v>
      </c>
      <c r="AE13">
        <f t="shared" si="35"/>
        <v>-257634.1819779998</v>
      </c>
      <c r="AG13" s="3">
        <f t="shared" si="9"/>
        <v>878671.78564330866</v>
      </c>
      <c r="AH13">
        <f t="shared" si="36"/>
        <v>85201.151769744451</v>
      </c>
      <c r="AI13" s="3">
        <f t="shared" si="37"/>
        <v>400000</v>
      </c>
      <c r="AJ13" s="3">
        <f t="shared" si="38"/>
        <v>393470.63387356419</v>
      </c>
      <c r="AK13" s="3">
        <f t="shared" si="39"/>
        <v>-115335.4328132902</v>
      </c>
      <c r="AL13" s="3">
        <f t="shared" si="40"/>
        <v>278135.20106027398</v>
      </c>
    </row>
    <row r="14" spans="1:38" x14ac:dyDescent="0.25">
      <c r="B14" s="1"/>
      <c r="D14" s="17" t="s">
        <v>16</v>
      </c>
      <c r="E14" s="1">
        <f t="shared" si="29"/>
        <v>929634.74921062065</v>
      </c>
      <c r="F14" s="1">
        <f t="shared" si="30"/>
        <v>24224.092737677798</v>
      </c>
      <c r="G14" s="2">
        <f t="shared" si="0"/>
        <v>2.6057645498134795E-2</v>
      </c>
      <c r="H14" s="15">
        <f t="shared" si="10"/>
        <v>0</v>
      </c>
      <c r="I14" s="1">
        <f t="shared" si="11"/>
        <v>8633.6139106516694</v>
      </c>
      <c r="J14" s="3">
        <f t="shared" si="31"/>
        <v>400000</v>
      </c>
      <c r="K14" s="1">
        <f t="shared" si="1"/>
        <v>26000</v>
      </c>
      <c r="L14" s="3">
        <f t="shared" si="2"/>
        <v>343707.79936849652</v>
      </c>
      <c r="M14" s="3">
        <f t="shared" si="21"/>
        <v>-6557.9983389735389</v>
      </c>
      <c r="N14" s="3">
        <f t="shared" si="32"/>
        <v>-129159.56341950102</v>
      </c>
      <c r="O14" s="1">
        <f t="shared" si="22"/>
        <v>-8137.0524954285647</v>
      </c>
      <c r="P14" s="1">
        <f t="shared" si="3"/>
        <v>275475.18579111958</v>
      </c>
      <c r="X14" t="s">
        <v>16</v>
      </c>
      <c r="Y14" s="3">
        <f t="shared" si="33"/>
        <v>-6557.9983389735389</v>
      </c>
      <c r="Z14">
        <f t="shared" si="5"/>
        <v>19379.274190142238</v>
      </c>
      <c r="AA14" s="3">
        <f t="shared" si="34"/>
        <v>8633.6139106516694</v>
      </c>
      <c r="AB14">
        <f t="shared" si="6"/>
        <v>38000</v>
      </c>
      <c r="AC14" s="9">
        <f t="shared" si="7"/>
        <v>-41937.439721427574</v>
      </c>
      <c r="AD14">
        <f t="shared" si="8"/>
        <v>-11540.958393516692</v>
      </c>
      <c r="AE14">
        <f t="shared" si="35"/>
        <v>-253901.08465736723</v>
      </c>
      <c r="AG14" s="3">
        <f t="shared" si="9"/>
        <v>929634.74921062065</v>
      </c>
      <c r="AH14">
        <f t="shared" si="36"/>
        <v>96667.818572389646</v>
      </c>
      <c r="AI14" s="3">
        <f t="shared" si="37"/>
        <v>400000</v>
      </c>
      <c r="AJ14" s="3">
        <f t="shared" si="38"/>
        <v>432966.93063823099</v>
      </c>
      <c r="AK14" s="3">
        <f t="shared" si="39"/>
        <v>-129159.56341950102</v>
      </c>
      <c r="AL14" s="3">
        <f t="shared" si="40"/>
        <v>303807.36721872998</v>
      </c>
    </row>
    <row r="15" spans="1:38" x14ac:dyDescent="0.25">
      <c r="D15" s="17" t="s">
        <v>17</v>
      </c>
      <c r="E15" s="1">
        <f t="shared" si="29"/>
        <v>983553.56466483674</v>
      </c>
      <c r="F15" s="1">
        <f t="shared" si="30"/>
        <v>24950.815519808133</v>
      </c>
      <c r="G15" s="2">
        <f t="shared" si="0"/>
        <v>2.536802917115202E-2</v>
      </c>
      <c r="H15" s="15">
        <f t="shared" si="10"/>
        <v>0</v>
      </c>
      <c r="I15" s="1">
        <f t="shared" si="11"/>
        <v>8742.6223279712194</v>
      </c>
      <c r="J15" s="3">
        <f t="shared" si="31"/>
        <v>400000</v>
      </c>
      <c r="K15" s="1">
        <f t="shared" si="1"/>
        <v>26000</v>
      </c>
      <c r="L15" s="3">
        <f t="shared" si="2"/>
        <v>386842.85173186939</v>
      </c>
      <c r="M15" s="3">
        <f t="shared" si="21"/>
        <v>-6168.8382891427445</v>
      </c>
      <c r="N15" s="3">
        <f t="shared" si="32"/>
        <v>-143465.45420407233</v>
      </c>
      <c r="O15" s="1">
        <f t="shared" si="22"/>
        <v>-9038.3236148565575</v>
      </c>
      <c r="P15" s="1">
        <f t="shared" si="3"/>
        <v>315088.11046076438</v>
      </c>
      <c r="X15" t="s">
        <v>17</v>
      </c>
      <c r="Y15" s="3">
        <f t="shared" si="33"/>
        <v>-6168.8382891427445</v>
      </c>
      <c r="Z15">
        <f t="shared" si="5"/>
        <v>19960.652415846507</v>
      </c>
      <c r="AA15" s="3">
        <f t="shared" si="34"/>
        <v>8742.6223279712194</v>
      </c>
      <c r="AB15">
        <f t="shared" si="6"/>
        <v>38000</v>
      </c>
      <c r="AC15" s="9">
        <f t="shared" si="7"/>
        <v>-41937.439721427574</v>
      </c>
      <c r="AD15">
        <f t="shared" si="8"/>
        <v>-11366.181564414344</v>
      </c>
      <c r="AE15">
        <f t="shared" si="35"/>
        <v>-250055.99441711558</v>
      </c>
      <c r="AG15" s="3">
        <f t="shared" si="9"/>
        <v>983553.56466483674</v>
      </c>
      <c r="AH15">
        <f t="shared" si="36"/>
        <v>108799.55204958827</v>
      </c>
      <c r="AI15" s="3">
        <f t="shared" si="37"/>
        <v>400000</v>
      </c>
      <c r="AJ15" s="3">
        <f t="shared" si="38"/>
        <v>474754.01261524844</v>
      </c>
      <c r="AK15" s="3">
        <f t="shared" si="39"/>
        <v>-143465.45420407233</v>
      </c>
      <c r="AL15" s="3">
        <f t="shared" si="40"/>
        <v>331288.55841117608</v>
      </c>
    </row>
    <row r="16" spans="1:38" x14ac:dyDescent="0.25">
      <c r="D16" s="17" t="s">
        <v>18</v>
      </c>
      <c r="E16" s="1">
        <f t="shared" si="29"/>
        <v>1040599.6714153973</v>
      </c>
      <c r="F16" s="1">
        <f t="shared" si="30"/>
        <v>25699.339985402377</v>
      </c>
      <c r="G16" s="2">
        <f t="shared" si="0"/>
        <v>2.4696663559817183E-2</v>
      </c>
      <c r="H16" s="15">
        <f t="shared" si="10"/>
        <v>0</v>
      </c>
      <c r="I16" s="1">
        <f t="shared" si="11"/>
        <v>8854.9009978103568</v>
      </c>
      <c r="J16" s="3">
        <f t="shared" si="31"/>
        <v>400000</v>
      </c>
      <c r="K16" s="1">
        <f t="shared" si="1"/>
        <v>26000</v>
      </c>
      <c r="L16" s="3">
        <f t="shared" si="2"/>
        <v>432479.73713231785</v>
      </c>
      <c r="M16" s="3">
        <f t="shared" si="21"/>
        <v>-5768.0034378170267</v>
      </c>
      <c r="N16" s="3">
        <f t="shared" si="32"/>
        <v>-158271.78125674592</v>
      </c>
      <c r="O16" s="1">
        <f t="shared" si="22"/>
        <v>-9971.122219174993</v>
      </c>
      <c r="P16" s="1">
        <f t="shared" si="3"/>
        <v>357327.8901586514</v>
      </c>
      <c r="X16" t="s">
        <v>18</v>
      </c>
      <c r="Y16" s="3">
        <f t="shared" si="33"/>
        <v>-5768.0034378170267</v>
      </c>
      <c r="Z16">
        <f t="shared" si="5"/>
        <v>20559.471988321904</v>
      </c>
      <c r="AA16" s="3">
        <f t="shared" si="34"/>
        <v>8854.9009978103568</v>
      </c>
      <c r="AB16">
        <f t="shared" si="6"/>
        <v>38000</v>
      </c>
      <c r="AC16" s="9">
        <f t="shared" si="7"/>
        <v>-41937.439721427574</v>
      </c>
      <c r="AD16">
        <f t="shared" si="8"/>
        <v>-11186.16143043893</v>
      </c>
      <c r="AE16">
        <f t="shared" si="35"/>
        <v>-246095.55146965646</v>
      </c>
      <c r="AG16" s="3">
        <f t="shared" si="9"/>
        <v>1040599.6714153973</v>
      </c>
      <c r="AH16">
        <f t="shared" si="36"/>
        <v>121634.9260684644</v>
      </c>
      <c r="AI16" s="3">
        <f t="shared" si="37"/>
        <v>400000</v>
      </c>
      <c r="AJ16" s="3">
        <f t="shared" si="38"/>
        <v>518964.7453469329</v>
      </c>
      <c r="AK16" s="3">
        <f t="shared" si="39"/>
        <v>-158271.78125674592</v>
      </c>
      <c r="AL16" s="3">
        <f t="shared" si="40"/>
        <v>360692.96409018699</v>
      </c>
    </row>
    <row r="17" spans="4:38" x14ac:dyDescent="0.25">
      <c r="D17" s="17" t="s">
        <v>19</v>
      </c>
      <c r="E17" s="1">
        <f t="shared" si="29"/>
        <v>1100954.4523574903</v>
      </c>
      <c r="F17" s="1">
        <f t="shared" si="30"/>
        <v>26470.32018496445</v>
      </c>
      <c r="G17" s="2">
        <f t="shared" si="0"/>
        <v>2.4043065658423159E-2</v>
      </c>
      <c r="H17" s="15">
        <f t="shared" si="10"/>
        <v>0</v>
      </c>
      <c r="I17" s="1">
        <f t="shared" si="11"/>
        <v>8970.5480277446677</v>
      </c>
      <c r="J17" s="3">
        <f t="shared" si="31"/>
        <v>400000</v>
      </c>
      <c r="K17" s="1">
        <f t="shared" si="1"/>
        <v>26000</v>
      </c>
      <c r="L17" s="3">
        <f t="shared" si="2"/>
        <v>480763.5618859923</v>
      </c>
      <c r="M17" s="3">
        <f t="shared" si="21"/>
        <v>-5355.1435409515361</v>
      </c>
      <c r="N17" s="3">
        <f t="shared" si="32"/>
        <v>-173598.04701687244</v>
      </c>
      <c r="O17" s="1">
        <f t="shared" si="22"/>
        <v>-10936.676962062964</v>
      </c>
      <c r="P17" s="1">
        <f t="shared" si="3"/>
        <v>402356.40534061787</v>
      </c>
      <c r="X17" t="s">
        <v>19</v>
      </c>
      <c r="Y17" s="3">
        <f t="shared" si="33"/>
        <v>-5355.1435409515361</v>
      </c>
      <c r="Z17">
        <f t="shared" si="5"/>
        <v>21176.256147971562</v>
      </c>
      <c r="AA17" s="3">
        <f t="shared" si="34"/>
        <v>8970.5480277446677</v>
      </c>
      <c r="AB17">
        <f t="shared" si="6"/>
        <v>38000</v>
      </c>
      <c r="AC17" s="9">
        <f t="shared" si="7"/>
        <v>-41937.439721427574</v>
      </c>
      <c r="AD17">
        <f t="shared" si="8"/>
        <v>-11000.740692444251</v>
      </c>
      <c r="AE17">
        <f t="shared" si="35"/>
        <v>-242016.29523377353</v>
      </c>
      <c r="AG17" s="3">
        <f t="shared" si="9"/>
        <v>1100954.4523574903</v>
      </c>
      <c r="AH17">
        <f t="shared" si="36"/>
        <v>135214.75178043533</v>
      </c>
      <c r="AI17" s="3">
        <f t="shared" si="37"/>
        <v>400000</v>
      </c>
      <c r="AJ17" s="3">
        <f t="shared" si="38"/>
        <v>565739.70057705499</v>
      </c>
      <c r="AK17" s="3">
        <f t="shared" si="39"/>
        <v>-173598.04701687244</v>
      </c>
      <c r="AL17" s="3">
        <f t="shared" si="40"/>
        <v>392141.65356018255</v>
      </c>
    </row>
    <row r="18" spans="4:38" x14ac:dyDescent="0.25">
      <c r="D18" s="17" t="s">
        <v>20</v>
      </c>
      <c r="E18" s="1">
        <f t="shared" si="29"/>
        <v>1164809.8105942248</v>
      </c>
      <c r="F18" s="1">
        <f t="shared" si="30"/>
        <v>27264.429790513383</v>
      </c>
      <c r="G18" s="2">
        <f t="shared" si="0"/>
        <v>2.3406765244022541E-2</v>
      </c>
      <c r="H18" s="15">
        <f t="shared" si="10"/>
        <v>0</v>
      </c>
      <c r="I18" s="1">
        <f t="shared" si="11"/>
        <v>9089.6644685770079</v>
      </c>
      <c r="J18" s="3">
        <f t="shared" si="31"/>
        <v>400000</v>
      </c>
      <c r="K18" s="1">
        <f t="shared" si="1"/>
        <v>26000</v>
      </c>
      <c r="L18" s="3">
        <f t="shared" si="2"/>
        <v>531847.84847537987</v>
      </c>
      <c r="M18" s="3">
        <f t="shared" si="21"/>
        <v>-4929.8978471800838</v>
      </c>
      <c r="N18" s="3">
        <f t="shared" si="32"/>
        <v>-189464.62182611547</v>
      </c>
      <c r="O18" s="1">
        <f t="shared" si="22"/>
        <v>-11936.271175045275</v>
      </c>
      <c r="P18" s="1">
        <f t="shared" si="3"/>
        <v>450345.18876810931</v>
      </c>
      <c r="X18" t="s">
        <v>20</v>
      </c>
      <c r="Y18" s="3">
        <f t="shared" si="33"/>
        <v>-4929.8978471800838</v>
      </c>
      <c r="Z18">
        <f t="shared" si="5"/>
        <v>21811.543832410709</v>
      </c>
      <c r="AA18" s="3">
        <f t="shared" si="34"/>
        <v>9089.6644685770079</v>
      </c>
      <c r="AB18">
        <f t="shared" si="6"/>
        <v>38000</v>
      </c>
      <c r="AC18" s="9">
        <f t="shared" si="7"/>
        <v>-41937.439721427574</v>
      </c>
      <c r="AD18">
        <f t="shared" si="8"/>
        <v>-10809.757332309733</v>
      </c>
      <c r="AE18">
        <f t="shared" si="35"/>
        <v>-237814.66131081412</v>
      </c>
      <c r="AG18" s="3">
        <f t="shared" si="9"/>
        <v>1164809.8105942248</v>
      </c>
      <c r="AH18">
        <f t="shared" si="36"/>
        <v>149582.20738370059</v>
      </c>
      <c r="AI18" s="3">
        <f t="shared" si="37"/>
        <v>400000</v>
      </c>
      <c r="AJ18" s="3">
        <f t="shared" si="38"/>
        <v>615227.60321052419</v>
      </c>
      <c r="AK18" s="3">
        <f t="shared" si="39"/>
        <v>-189464.62182611547</v>
      </c>
      <c r="AL18" s="3">
        <f t="shared" si="40"/>
        <v>425762.98138440872</v>
      </c>
    </row>
    <row r="19" spans="4:38" x14ac:dyDescent="0.25">
      <c r="D19" s="17" t="s">
        <v>21</v>
      </c>
      <c r="E19" s="1">
        <f t="shared" si="29"/>
        <v>1232368.7796086899</v>
      </c>
      <c r="F19" s="1">
        <f t="shared" si="30"/>
        <v>28082.362684228785</v>
      </c>
      <c r="G19" s="2">
        <f t="shared" si="0"/>
        <v>2.2787304538131586E-2</v>
      </c>
      <c r="H19" s="15">
        <f t="shared" si="10"/>
        <v>0</v>
      </c>
      <c r="I19" s="1">
        <f t="shared" si="11"/>
        <v>9212.3544026343188</v>
      </c>
      <c r="J19" s="3">
        <f t="shared" si="31"/>
        <v>400000</v>
      </c>
      <c r="K19" s="1">
        <f t="shared" si="1"/>
        <v>26000</v>
      </c>
      <c r="L19" s="3">
        <f t="shared" si="2"/>
        <v>585895.02368695196</v>
      </c>
      <c r="M19" s="3">
        <f t="shared" si="21"/>
        <v>-4491.8947825954865</v>
      </c>
      <c r="N19" s="3">
        <f t="shared" si="32"/>
        <v>-205892.78778375624</v>
      </c>
      <c r="O19" s="1">
        <f t="shared" si="22"/>
        <v>-12971.245630376643</v>
      </c>
      <c r="P19" s="1">
        <f t="shared" si="3"/>
        <v>501475.99182493368</v>
      </c>
      <c r="X19" t="s">
        <v>21</v>
      </c>
      <c r="Y19" s="3">
        <f t="shared" si="33"/>
        <v>-4491.8947825954865</v>
      </c>
      <c r="Z19">
        <f t="shared" si="5"/>
        <v>22465.89014738303</v>
      </c>
      <c r="AA19" s="3">
        <f t="shared" si="34"/>
        <v>9212.3544026343188</v>
      </c>
      <c r="AB19">
        <f t="shared" si="6"/>
        <v>38000</v>
      </c>
      <c r="AC19" s="9">
        <f t="shared" si="7"/>
        <v>-41937.439721427574</v>
      </c>
      <c r="AD19">
        <f t="shared" si="8"/>
        <v>-10613.044471371179</v>
      </c>
      <c r="AE19">
        <f t="shared" si="35"/>
        <v>-233486.97837016592</v>
      </c>
      <c r="AG19" s="3">
        <f t="shared" si="9"/>
        <v>1232368.7796086899</v>
      </c>
      <c r="AH19">
        <f t="shared" si="36"/>
        <v>164782.97541195524</v>
      </c>
      <c r="AI19" s="3">
        <f t="shared" si="37"/>
        <v>400000</v>
      </c>
      <c r="AJ19" s="3">
        <f t="shared" si="38"/>
        <v>667585.80419673468</v>
      </c>
      <c r="AK19" s="3">
        <f t="shared" si="39"/>
        <v>-205892.78778375624</v>
      </c>
      <c r="AL19" s="3">
        <f t="shared" si="40"/>
        <v>461693.01641297841</v>
      </c>
    </row>
    <row r="20" spans="4:38" x14ac:dyDescent="0.25">
      <c r="D20" s="17" t="s">
        <v>22</v>
      </c>
      <c r="E20" s="1">
        <f t="shared" si="29"/>
        <v>1303846.168825994</v>
      </c>
      <c r="F20" s="1">
        <f t="shared" si="30"/>
        <v>28924.833564755649</v>
      </c>
      <c r="G20" s="2">
        <f t="shared" si="0"/>
        <v>2.2184237877387082E-2</v>
      </c>
      <c r="H20" s="15">
        <f t="shared" si="10"/>
        <v>0</v>
      </c>
      <c r="I20" s="1">
        <f t="shared" si="11"/>
        <v>9338.7250347133468</v>
      </c>
      <c r="J20" s="3">
        <f t="shared" si="31"/>
        <v>400000</v>
      </c>
      <c r="K20" s="1">
        <f t="shared" si="1"/>
        <v>26000</v>
      </c>
      <c r="L20" s="3">
        <f t="shared" si="2"/>
        <v>643076.93506079528</v>
      </c>
      <c r="M20" s="3">
        <f t="shared" si="21"/>
        <v>-4040.751626073351</v>
      </c>
      <c r="N20" s="3">
        <f t="shared" si="32"/>
        <v>-222904.78504020625</v>
      </c>
      <c r="O20" s="1">
        <f t="shared" si="22"/>
        <v>-14043.001457532995</v>
      </c>
      <c r="P20" s="1">
        <f t="shared" si="3"/>
        <v>555941.38378578774</v>
      </c>
      <c r="X20" t="s">
        <v>22</v>
      </c>
      <c r="Y20" s="3">
        <f t="shared" si="33"/>
        <v>-4040.751626073351</v>
      </c>
      <c r="Z20">
        <f t="shared" si="5"/>
        <v>23139.86685180452</v>
      </c>
      <c r="AA20" s="3">
        <f t="shared" si="34"/>
        <v>9338.7250347133468</v>
      </c>
      <c r="AB20">
        <f t="shared" si="6"/>
        <v>38000</v>
      </c>
      <c r="AC20" s="9">
        <f t="shared" si="7"/>
        <v>-41937.439721427574</v>
      </c>
      <c r="AD20">
        <f t="shared" si="8"/>
        <v>-10410.430224604468</v>
      </c>
      <c r="AE20">
        <f t="shared" si="35"/>
        <v>-229029.4649412983</v>
      </c>
      <c r="AG20" s="3">
        <f t="shared" si="9"/>
        <v>1303846.168825994</v>
      </c>
      <c r="AH20">
        <f t="shared" si="36"/>
        <v>180865.38798584865</v>
      </c>
      <c r="AI20" s="3">
        <f t="shared" si="37"/>
        <v>400000</v>
      </c>
      <c r="AJ20" s="3">
        <f t="shared" si="38"/>
        <v>722980.78084014542</v>
      </c>
      <c r="AK20" s="3">
        <f t="shared" si="39"/>
        <v>-222904.78504020625</v>
      </c>
      <c r="AL20" s="3">
        <f t="shared" si="40"/>
        <v>500075.99579993915</v>
      </c>
    </row>
    <row r="21" spans="4:38" x14ac:dyDescent="0.25">
      <c r="D21" s="17" t="s">
        <v>23</v>
      </c>
      <c r="E21" s="1">
        <f t="shared" si="29"/>
        <v>1379469.2466179018</v>
      </c>
      <c r="F21" s="1">
        <f t="shared" si="30"/>
        <v>29792.578571698319</v>
      </c>
      <c r="G21" s="2">
        <f t="shared" si="0"/>
        <v>2.1597131392919369E-2</v>
      </c>
      <c r="H21" s="15">
        <f t="shared" si="10"/>
        <v>0</v>
      </c>
      <c r="I21" s="1">
        <f t="shared" si="11"/>
        <v>9468.8867857547484</v>
      </c>
      <c r="J21" s="3">
        <f t="shared" si="31"/>
        <v>400000</v>
      </c>
      <c r="K21" s="1">
        <f t="shared" si="1"/>
        <v>26000</v>
      </c>
      <c r="L21" s="3">
        <f t="shared" si="2"/>
        <v>703575.39729432156</v>
      </c>
      <c r="M21" s="3">
        <f t="shared" si="21"/>
        <v>-3576.0741748555506</v>
      </c>
      <c r="N21" s="3">
        <f t="shared" si="32"/>
        <v>-240523.86067259478</v>
      </c>
      <c r="O21" s="1">
        <f t="shared" si="22"/>
        <v>-15153.003222373471</v>
      </c>
      <c r="P21" s="1">
        <f t="shared" si="3"/>
        <v>613945.38594530709</v>
      </c>
      <c r="X21" t="s">
        <v>23</v>
      </c>
      <c r="Y21" s="3">
        <f t="shared" si="33"/>
        <v>-3576.0741748555506</v>
      </c>
      <c r="Z21">
        <f t="shared" si="5"/>
        <v>23834.062857358658</v>
      </c>
      <c r="AA21" s="3">
        <f t="shared" si="34"/>
        <v>9468.8867857547484</v>
      </c>
      <c r="AB21">
        <f t="shared" si="6"/>
        <v>38000</v>
      </c>
      <c r="AC21" s="9">
        <f t="shared" si="7"/>
        <v>-41937.439721427574</v>
      </c>
      <c r="AD21">
        <f t="shared" si="8"/>
        <v>-10201.737550434756</v>
      </c>
      <c r="AE21">
        <f t="shared" si="35"/>
        <v>-224438.22610956465</v>
      </c>
      <c r="AG21" s="3">
        <f t="shared" si="9"/>
        <v>1379469.2466179018</v>
      </c>
      <c r="AH21">
        <f t="shared" si="36"/>
        <v>197880.58048902793</v>
      </c>
      <c r="AI21" s="3">
        <f t="shared" si="37"/>
        <v>400000</v>
      </c>
      <c r="AJ21" s="3">
        <f t="shared" si="38"/>
        <v>781588.66612887383</v>
      </c>
      <c r="AK21" s="3">
        <f t="shared" si="39"/>
        <v>-240523.86067259478</v>
      </c>
      <c r="AL21" s="3">
        <f t="shared" si="40"/>
        <v>541064.80545627908</v>
      </c>
    </row>
    <row r="22" spans="4:38" x14ac:dyDescent="0.25">
      <c r="D22" s="17" t="s">
        <v>24</v>
      </c>
      <c r="E22" s="1">
        <f t="shared" si="29"/>
        <v>1459478.4629217403</v>
      </c>
      <c r="F22" s="1">
        <f t="shared" si="30"/>
        <v>30686.355928849269</v>
      </c>
      <c r="G22" s="2">
        <f t="shared" si="0"/>
        <v>2.1025562698210726E-2</v>
      </c>
      <c r="H22" s="15">
        <f t="shared" si="10"/>
        <v>0</v>
      </c>
      <c r="I22" s="1">
        <f t="shared" si="11"/>
        <v>9602.9533893273911</v>
      </c>
      <c r="J22" s="3">
        <f t="shared" si="31"/>
        <v>400000</v>
      </c>
      <c r="K22" s="1">
        <f t="shared" si="1"/>
        <v>26000</v>
      </c>
      <c r="L22" s="3">
        <f t="shared" si="2"/>
        <v>767582.77033739234</v>
      </c>
      <c r="M22" s="3">
        <f t="shared" si="21"/>
        <v>-3097.4564001012172</v>
      </c>
      <c r="N22" s="3">
        <f t="shared" si="32"/>
        <v>-258774.32029506945</v>
      </c>
      <c r="O22" s="1">
        <f t="shared" si="22"/>
        <v>-16302.782178589378</v>
      </c>
      <c r="P22" s="1">
        <f t="shared" si="3"/>
        <v>675704.14262667089</v>
      </c>
      <c r="X22" t="s">
        <v>24</v>
      </c>
      <c r="Y22" s="3">
        <f t="shared" si="33"/>
        <v>-3097.4564001012172</v>
      </c>
      <c r="Z22">
        <f t="shared" si="5"/>
        <v>24549.084743079417</v>
      </c>
      <c r="AA22" s="3">
        <f t="shared" si="34"/>
        <v>9602.9533893273911</v>
      </c>
      <c r="AB22">
        <f t="shared" si="6"/>
        <v>38000</v>
      </c>
      <c r="AC22" s="9">
        <f t="shared" si="7"/>
        <v>-41937.439721427574</v>
      </c>
      <c r="AD22">
        <f t="shared" si="8"/>
        <v>-9986.7840960399535</v>
      </c>
      <c r="AE22">
        <f t="shared" si="35"/>
        <v>-219709.25011287897</v>
      </c>
      <c r="AG22" s="3">
        <f t="shared" si="9"/>
        <v>1459478.4629217403</v>
      </c>
      <c r="AH22">
        <f t="shared" si="36"/>
        <v>215882.65415739157</v>
      </c>
      <c r="AI22" s="3">
        <f t="shared" si="37"/>
        <v>400000</v>
      </c>
      <c r="AJ22" s="3">
        <f t="shared" si="38"/>
        <v>843595.80876434874</v>
      </c>
      <c r="AK22" s="3">
        <f t="shared" si="39"/>
        <v>-258774.32029506945</v>
      </c>
      <c r="AL22" s="3">
        <f t="shared" si="40"/>
        <v>584821.48846927925</v>
      </c>
    </row>
    <row r="23" spans="4:38" x14ac:dyDescent="0.25">
      <c r="D23" s="17" t="s">
        <v>25</v>
      </c>
      <c r="E23" s="1">
        <f t="shared" si="29"/>
        <v>1544128.2137712012</v>
      </c>
      <c r="F23" s="1">
        <f t="shared" si="30"/>
        <v>31606.946606714748</v>
      </c>
      <c r="G23" s="2">
        <f t="shared" si="0"/>
        <v>2.0469120585214603E-2</v>
      </c>
      <c r="H23" s="15">
        <f t="shared" si="10"/>
        <v>0</v>
      </c>
      <c r="I23" s="1">
        <f t="shared" si="11"/>
        <v>9741.0419910072123</v>
      </c>
      <c r="J23" s="3">
        <f t="shared" si="31"/>
        <v>400000</v>
      </c>
      <c r="K23" s="1">
        <f t="shared" si="1"/>
        <v>26000</v>
      </c>
      <c r="L23" s="3">
        <f t="shared" si="2"/>
        <v>835302.57101696101</v>
      </c>
      <c r="M23" s="3">
        <f t="shared" si="21"/>
        <v>-2604.4800921042529</v>
      </c>
      <c r="N23" s="3">
        <f t="shared" si="32"/>
        <v>-277681.58256576309</v>
      </c>
      <c r="O23" s="1">
        <f t="shared" si="22"/>
        <v>-17493.939701643074</v>
      </c>
      <c r="P23" s="1">
        <f t="shared" si="3"/>
        <v>741446.63120543817</v>
      </c>
      <c r="X23" t="s">
        <v>25</v>
      </c>
      <c r="Y23" s="3">
        <f t="shared" si="33"/>
        <v>-2604.4800921042529</v>
      </c>
      <c r="Z23">
        <f t="shared" si="5"/>
        <v>25285.5572853718</v>
      </c>
      <c r="AA23" s="3">
        <f t="shared" si="34"/>
        <v>9741.0419910072123</v>
      </c>
      <c r="AB23">
        <f t="shared" si="6"/>
        <v>38000</v>
      </c>
      <c r="AC23" s="9">
        <f t="shared" si="7"/>
        <v>-41937.439721427574</v>
      </c>
      <c r="AD23">
        <f t="shared" si="8"/>
        <v>-9765.3820380133038</v>
      </c>
      <c r="AE23">
        <f t="shared" si="35"/>
        <v>-214838.40483629267</v>
      </c>
      <c r="AG23" s="3">
        <f t="shared" si="9"/>
        <v>1544128.2137712012</v>
      </c>
      <c r="AH23">
        <f t="shared" si="36"/>
        <v>234928.84809852028</v>
      </c>
      <c r="AI23" s="3">
        <f t="shared" si="37"/>
        <v>400000</v>
      </c>
      <c r="AJ23" s="3">
        <f t="shared" si="38"/>
        <v>909199.36567268101</v>
      </c>
      <c r="AK23" s="3">
        <f t="shared" si="39"/>
        <v>-277681.58256576309</v>
      </c>
      <c r="AL23" s="3">
        <f t="shared" si="40"/>
        <v>631517.78310691798</v>
      </c>
    </row>
    <row r="24" spans="4:38" x14ac:dyDescent="0.25">
      <c r="D24" s="17" t="s">
        <v>26</v>
      </c>
      <c r="E24" s="1">
        <f t="shared" si="29"/>
        <v>1633687.6501699309</v>
      </c>
      <c r="F24" s="1">
        <f t="shared" si="30"/>
        <v>32555.155004916192</v>
      </c>
      <c r="G24" s="2">
        <f t="shared" si="0"/>
        <v>1.9927404728517051E-2</v>
      </c>
      <c r="H24" s="15">
        <f t="shared" si="10"/>
        <v>0</v>
      </c>
      <c r="I24" s="1">
        <f t="shared" si="11"/>
        <v>9883.2732507374276</v>
      </c>
      <c r="J24" s="3">
        <f t="shared" si="31"/>
        <v>400000</v>
      </c>
      <c r="K24" s="1">
        <f t="shared" si="1"/>
        <v>26000</v>
      </c>
      <c r="L24" s="3">
        <f t="shared" si="2"/>
        <v>906950.1201359448</v>
      </c>
      <c r="M24" s="3">
        <f t="shared" si="21"/>
        <v>-2096.7144948673781</v>
      </c>
      <c r="N24" s="3">
        <f t="shared" si="32"/>
        <v>-297272.23676227353</v>
      </c>
      <c r="O24" s="1">
        <f t="shared" si="22"/>
        <v>-18728.150916023234</v>
      </c>
      <c r="P24" s="1">
        <f t="shared" si="3"/>
        <v>811415.4134076573</v>
      </c>
      <c r="X24" t="s">
        <v>26</v>
      </c>
      <c r="Y24" s="3">
        <f t="shared" si="33"/>
        <v>-2096.7144948673781</v>
      </c>
      <c r="Z24">
        <f t="shared" si="5"/>
        <v>26044.124003932957</v>
      </c>
      <c r="AA24" s="3">
        <f t="shared" si="34"/>
        <v>9883.2732507374276</v>
      </c>
      <c r="AB24">
        <f t="shared" si="6"/>
        <v>38000</v>
      </c>
      <c r="AC24" s="9">
        <f t="shared" si="7"/>
        <v>-41937.439721427574</v>
      </c>
      <c r="AD24">
        <f t="shared" si="8"/>
        <v>-9537.3379182458557</v>
      </c>
      <c r="AE24">
        <f t="shared" si="35"/>
        <v>-209821.43420140882</v>
      </c>
      <c r="AG24" s="3">
        <f t="shared" si="9"/>
        <v>1633687.6501699309</v>
      </c>
      <c r="AH24">
        <f t="shared" si="36"/>
        <v>255079.72128823446</v>
      </c>
      <c r="AI24" s="3">
        <f t="shared" si="37"/>
        <v>400000</v>
      </c>
      <c r="AJ24" s="3">
        <f t="shared" si="38"/>
        <v>978607.92888169643</v>
      </c>
      <c r="AK24" s="3">
        <f t="shared" si="39"/>
        <v>-297272.23676227353</v>
      </c>
      <c r="AL24" s="3">
        <f t="shared" si="40"/>
        <v>681335.69211942283</v>
      </c>
    </row>
    <row r="25" spans="4:38" x14ac:dyDescent="0.25">
      <c r="D25" s="17" t="s">
        <v>27</v>
      </c>
      <c r="E25" s="1">
        <f t="shared" si="29"/>
        <v>1728441.533879787</v>
      </c>
      <c r="F25" s="1">
        <f t="shared" si="30"/>
        <v>33531.809655063676</v>
      </c>
      <c r="G25" s="2">
        <f t="shared" si="0"/>
        <v>1.9400025397327565E-2</v>
      </c>
      <c r="H25" s="15">
        <f t="shared" si="10"/>
        <v>0</v>
      </c>
      <c r="I25" s="1">
        <f t="shared" si="11"/>
        <v>10029.771448259551</v>
      </c>
      <c r="J25" s="3">
        <f t="shared" si="31"/>
        <v>400000</v>
      </c>
      <c r="K25" s="1">
        <f t="shared" si="1"/>
        <v>26000</v>
      </c>
      <c r="L25" s="3">
        <f t="shared" si="2"/>
        <v>982753.22710382962</v>
      </c>
      <c r="M25" s="3">
        <f t="shared" si="21"/>
        <v>-1573.715929713401</v>
      </c>
      <c r="N25" s="3">
        <f t="shared" si="32"/>
        <v>-317574.10360801016</v>
      </c>
      <c r="O25" s="1">
        <f t="shared" si="22"/>
        <v>-20007.168527304642</v>
      </c>
      <c r="P25" s="1">
        <f t="shared" si="3"/>
        <v>885867.43027177686</v>
      </c>
      <c r="X25" t="s">
        <v>27</v>
      </c>
      <c r="Y25" s="3">
        <f t="shared" si="33"/>
        <v>-1573.715929713401</v>
      </c>
      <c r="Z25">
        <f t="shared" si="5"/>
        <v>26825.447724050944</v>
      </c>
      <c r="AA25" s="3">
        <f t="shared" si="34"/>
        <v>10029.771448259551</v>
      </c>
      <c r="AB25">
        <f t="shared" si="6"/>
        <v>38000</v>
      </c>
      <c r="AC25" s="9">
        <f t="shared" si="7"/>
        <v>-41937.439721427574</v>
      </c>
      <c r="AD25">
        <f t="shared" si="8"/>
        <v>-9302.4524748853873</v>
      </c>
      <c r="AE25">
        <f t="shared" si="35"/>
        <v>-204653.95444747852</v>
      </c>
      <c r="AG25" s="3">
        <f t="shared" si="9"/>
        <v>1728441.533879787</v>
      </c>
      <c r="AH25">
        <f t="shared" si="36"/>
        <v>276399.34512295207</v>
      </c>
      <c r="AI25" s="3">
        <f t="shared" si="37"/>
        <v>400000</v>
      </c>
      <c r="AJ25" s="3">
        <f t="shared" si="38"/>
        <v>1052042.1887568349</v>
      </c>
      <c r="AK25" s="3">
        <f t="shared" si="39"/>
        <v>-317574.10360801016</v>
      </c>
      <c r="AL25" s="3">
        <f t="shared" si="40"/>
        <v>734468.08514882484</v>
      </c>
    </row>
    <row r="26" spans="4:38" x14ac:dyDescent="0.25">
      <c r="D26" s="17" t="s">
        <v>28</v>
      </c>
      <c r="E26" s="1">
        <f t="shared" si="29"/>
        <v>1828691.1428448148</v>
      </c>
      <c r="F26" s="1">
        <f t="shared" si="30"/>
        <v>34537.763944715589</v>
      </c>
      <c r="G26" s="2">
        <f t="shared" si="0"/>
        <v>1.888660317509205E-2</v>
      </c>
      <c r="H26" s="15">
        <f t="shared" si="10"/>
        <v>0</v>
      </c>
      <c r="I26" s="1">
        <f t="shared" si="11"/>
        <v>10180.664591707338</v>
      </c>
      <c r="J26" s="3">
        <f t="shared" si="31"/>
        <v>400000</v>
      </c>
      <c r="K26" s="1">
        <f t="shared" si="1"/>
        <v>26000</v>
      </c>
      <c r="L26" s="3">
        <f t="shared" si="2"/>
        <v>1062952.914275852</v>
      </c>
      <c r="M26" s="3">
        <f t="shared" si="21"/>
        <v>-1035.0274076048033</v>
      </c>
      <c r="N26" s="3">
        <f t="shared" si="32"/>
        <v>-338616.29954291962</v>
      </c>
      <c r="O26" s="1">
        <f t="shared" si="22"/>
        <v>-21332.826871203939</v>
      </c>
      <c r="P26" s="1">
        <f t="shared" si="3"/>
        <v>965074.84330189507</v>
      </c>
      <c r="X26" t="s">
        <v>28</v>
      </c>
      <c r="Y26" s="3">
        <f t="shared" si="33"/>
        <v>-1035.0274076048033</v>
      </c>
      <c r="Z26">
        <f t="shared" si="5"/>
        <v>27630.211155772471</v>
      </c>
      <c r="AA26" s="3">
        <f t="shared" si="34"/>
        <v>10180.664591707338</v>
      </c>
      <c r="AB26">
        <f t="shared" si="6"/>
        <v>38000</v>
      </c>
      <c r="AC26" s="9">
        <f t="shared" si="7"/>
        <v>-41937.439721427574</v>
      </c>
      <c r="AD26">
        <f t="shared" si="8"/>
        <v>-9060.5204682241038</v>
      </c>
      <c r="AE26">
        <f t="shared" si="35"/>
        <v>-199331.45030093027</v>
      </c>
      <c r="AG26" s="3">
        <f t="shared" si="9"/>
        <v>1828691.1428448148</v>
      </c>
      <c r="AH26">
        <f t="shared" si="36"/>
        <v>298955.50714008335</v>
      </c>
      <c r="AI26" s="3">
        <f t="shared" si="37"/>
        <v>400000</v>
      </c>
      <c r="AJ26" s="3">
        <f t="shared" si="38"/>
        <v>1129735.6357047316</v>
      </c>
      <c r="AK26" s="3">
        <f t="shared" si="39"/>
        <v>-338616.29954291962</v>
      </c>
      <c r="AL26" s="3">
        <f t="shared" si="40"/>
        <v>791119.33616181195</v>
      </c>
    </row>
    <row r="27" spans="4:38" x14ac:dyDescent="0.25">
      <c r="D27" s="17" t="s">
        <v>29</v>
      </c>
      <c r="E27" s="1">
        <f t="shared" si="29"/>
        <v>1934755.2291298141</v>
      </c>
      <c r="F27" s="1">
        <f t="shared" si="30"/>
        <v>35573.89686305706</v>
      </c>
      <c r="G27" s="2">
        <f t="shared" si="0"/>
        <v>1.8386768686526288E-2</v>
      </c>
      <c r="H27" s="15">
        <f t="shared" si="10"/>
        <v>0</v>
      </c>
      <c r="I27" s="1">
        <f t="shared" si="11"/>
        <v>10336.08452945856</v>
      </c>
      <c r="J27" s="3">
        <f t="shared" si="31"/>
        <v>400000</v>
      </c>
      <c r="K27" s="1">
        <f t="shared" si="1"/>
        <v>26000</v>
      </c>
      <c r="L27" s="3">
        <f t="shared" si="2"/>
        <v>1147804.1833038514</v>
      </c>
      <c r="M27" s="3">
        <f t="shared" si="21"/>
        <v>-480.17822983294491</v>
      </c>
      <c r="N27" s="3">
        <f t="shared" si="32"/>
        <v>-360429.30464395654</v>
      </c>
      <c r="O27" s="1">
        <f t="shared" si="22"/>
        <v>-22707.046192569265</v>
      </c>
      <c r="P27" s="1">
        <f t="shared" si="3"/>
        <v>1049325.9244858576</v>
      </c>
      <c r="X27" t="s">
        <v>29</v>
      </c>
      <c r="Y27" s="3">
        <f t="shared" si="33"/>
        <v>-480.17822983294491</v>
      </c>
      <c r="Z27">
        <f t="shared" si="5"/>
        <v>28459.117490445649</v>
      </c>
      <c r="AA27" s="3">
        <f t="shared" si="34"/>
        <v>10336.08452945856</v>
      </c>
      <c r="AB27">
        <f t="shared" si="6"/>
        <v>38000</v>
      </c>
      <c r="AC27" s="9">
        <f t="shared" si="7"/>
        <v>-41937.439721427574</v>
      </c>
      <c r="AD27">
        <f t="shared" si="8"/>
        <v>-8811.3305013629797</v>
      </c>
      <c r="AE27">
        <f t="shared" si="35"/>
        <v>-193849.27102998557</v>
      </c>
      <c r="AG27" s="3">
        <f t="shared" si="9"/>
        <v>1934755.2291298141</v>
      </c>
      <c r="AH27">
        <f t="shared" si="36"/>
        <v>322819.92655420816</v>
      </c>
      <c r="AI27" s="3">
        <f t="shared" si="37"/>
        <v>400000</v>
      </c>
      <c r="AJ27" s="3">
        <f t="shared" si="38"/>
        <v>1211935.3025756059</v>
      </c>
      <c r="AK27" s="3">
        <f t="shared" si="39"/>
        <v>-360429.30464395654</v>
      </c>
      <c r="AL27" s="3">
        <f t="shared" si="40"/>
        <v>851505.99793164944</v>
      </c>
    </row>
    <row r="28" spans="4:38" x14ac:dyDescent="0.25">
      <c r="D28" s="17" t="s">
        <v>30</v>
      </c>
      <c r="E28" s="1">
        <f t="shared" si="29"/>
        <v>2046971.0324193435</v>
      </c>
      <c r="F28" s="1">
        <f t="shared" si="30"/>
        <v>36641.113768948773</v>
      </c>
      <c r="G28" s="2">
        <f t="shared" si="0"/>
        <v>1.7900162331873418E-2</v>
      </c>
      <c r="H28" s="15">
        <f t="shared" si="10"/>
        <v>0</v>
      </c>
      <c r="I28" s="1">
        <f t="shared" si="11"/>
        <v>10496.167065342317</v>
      </c>
      <c r="J28" s="3">
        <f t="shared" si="31"/>
        <v>400000</v>
      </c>
      <c r="K28" s="1">
        <f t="shared" si="1"/>
        <v>26000</v>
      </c>
      <c r="L28" s="3">
        <f t="shared" si="2"/>
        <v>1237576.8259354748</v>
      </c>
      <c r="M28" s="3">
        <f t="shared" si="21"/>
        <v>91.316423272067368</v>
      </c>
      <c r="N28" s="3">
        <f t="shared" si="32"/>
        <v>-383045.03441325371</v>
      </c>
      <c r="O28" s="1">
        <f t="shared" si="22"/>
        <v>-24131.837168034985</v>
      </c>
      <c r="P28" s="1">
        <f t="shared" si="3"/>
        <v>1138925.9980060898</v>
      </c>
      <c r="X28" t="s">
        <v>30</v>
      </c>
      <c r="Y28" s="3">
        <f t="shared" si="33"/>
        <v>91.316423272067368</v>
      </c>
      <c r="Z28">
        <f t="shared" si="5"/>
        <v>29312.891015159021</v>
      </c>
      <c r="AA28" s="3">
        <f t="shared" si="34"/>
        <v>10496.167065342317</v>
      </c>
      <c r="AB28">
        <f t="shared" si="6"/>
        <v>38000</v>
      </c>
      <c r="AC28" s="9">
        <f t="shared" si="7"/>
        <v>-41937.439721427574</v>
      </c>
      <c r="AD28">
        <f t="shared" si="8"/>
        <v>-8554.6648354960216</v>
      </c>
      <c r="AE28">
        <f t="shared" si="35"/>
        <v>-188202.62638091246</v>
      </c>
      <c r="AG28" s="3">
        <f t="shared" si="9"/>
        <v>2046971.0324193435</v>
      </c>
      <c r="AH28">
        <f t="shared" si="36"/>
        <v>348068.48229435232</v>
      </c>
      <c r="AI28" s="3">
        <f t="shared" si="37"/>
        <v>400000</v>
      </c>
      <c r="AJ28" s="3">
        <f t="shared" si="38"/>
        <v>1298902.5501249912</v>
      </c>
      <c r="AK28" s="3">
        <f t="shared" si="39"/>
        <v>-383045.03441325371</v>
      </c>
      <c r="AL28" s="3">
        <f t="shared" si="40"/>
        <v>915857.51571173756</v>
      </c>
    </row>
    <row r="29" spans="4:38" x14ac:dyDescent="0.25">
      <c r="D29" s="17" t="s">
        <v>31</v>
      </c>
      <c r="E29" s="1">
        <f t="shared" si="29"/>
        <v>2165695.3522996656</v>
      </c>
      <c r="F29" s="1">
        <f t="shared" si="30"/>
        <v>37740.347182017234</v>
      </c>
      <c r="G29" s="2">
        <f t="shared" si="0"/>
        <v>1.7426434028194347E-2</v>
      </c>
      <c r="H29" s="15">
        <f t="shared" si="10"/>
        <v>0</v>
      </c>
      <c r="I29" s="1">
        <f t="shared" si="11"/>
        <v>10661.052077302586</v>
      </c>
      <c r="J29" s="3">
        <f t="shared" si="31"/>
        <v>400000</v>
      </c>
      <c r="K29" s="1">
        <f t="shared" si="1"/>
        <v>26000</v>
      </c>
      <c r="L29" s="3">
        <f t="shared" si="2"/>
        <v>1332556.2818397325</v>
      </c>
      <c r="M29" s="3">
        <f t="shared" si="21"/>
        <v>679.95591597022883</v>
      </c>
      <c r="N29" s="3">
        <f t="shared" si="32"/>
        <v>-406496.91566531849</v>
      </c>
      <c r="O29" s="1">
        <f t="shared" si="22"/>
        <v>-25609.305686915068</v>
      </c>
      <c r="P29" s="1">
        <f t="shared" si="3"/>
        <v>1234198.4366343471</v>
      </c>
      <c r="X29" t="s">
        <v>31</v>
      </c>
      <c r="Y29" s="3">
        <f t="shared" si="33"/>
        <v>679.95591597022883</v>
      </c>
      <c r="Z29">
        <f t="shared" si="5"/>
        <v>30192.277745613788</v>
      </c>
      <c r="AA29" s="3">
        <f t="shared" si="34"/>
        <v>10661.052077302586</v>
      </c>
      <c r="AB29">
        <f t="shared" si="6"/>
        <v>38000</v>
      </c>
      <c r="AC29" s="9">
        <f t="shared" si="7"/>
        <v>-41937.439721427574</v>
      </c>
      <c r="AD29">
        <f t="shared" si="8"/>
        <v>-8290.2991996530582</v>
      </c>
      <c r="AE29">
        <f t="shared" si="35"/>
        <v>-182386.58239236727</v>
      </c>
      <c r="AG29" s="3">
        <f t="shared" si="9"/>
        <v>2165695.3522996656</v>
      </c>
      <c r="AH29">
        <f t="shared" si="36"/>
        <v>374781.45426742476</v>
      </c>
      <c r="AI29" s="3">
        <f t="shared" si="37"/>
        <v>400000</v>
      </c>
      <c r="AJ29" s="3">
        <f t="shared" si="38"/>
        <v>1390913.8980322408</v>
      </c>
      <c r="AK29" s="3">
        <f t="shared" si="39"/>
        <v>-406496.91566531849</v>
      </c>
      <c r="AL29" s="3">
        <f t="shared" si="40"/>
        <v>984416.98236692231</v>
      </c>
    </row>
    <row r="30" spans="4:38" x14ac:dyDescent="0.25">
      <c r="D30" s="17" t="s">
        <v>32</v>
      </c>
      <c r="E30" s="1">
        <f t="shared" si="29"/>
        <v>2291305.6827330464</v>
      </c>
      <c r="F30" s="1">
        <f t="shared" si="30"/>
        <v>38872.557597477753</v>
      </c>
      <c r="G30" s="2">
        <f t="shared" si="0"/>
        <v>1.6965242957504893E-2</v>
      </c>
      <c r="H30" s="15">
        <f t="shared" si="10"/>
        <v>0</v>
      </c>
      <c r="I30" s="1">
        <f t="shared" si="11"/>
        <v>10830.883639621663</v>
      </c>
      <c r="J30" s="3">
        <f t="shared" si="31"/>
        <v>400000</v>
      </c>
      <c r="K30" s="1">
        <f t="shared" si="1"/>
        <v>26000</v>
      </c>
      <c r="L30" s="3">
        <f t="shared" si="2"/>
        <v>1433044.5461864371</v>
      </c>
      <c r="M30" s="3">
        <f t="shared" si="21"/>
        <v>1286.2545934493355</v>
      </c>
      <c r="N30" s="3">
        <f t="shared" si="32"/>
        <v>-430819.9667587842</v>
      </c>
      <c r="O30" s="1">
        <f t="shared" si="22"/>
        <v>-27141.657905803404</v>
      </c>
      <c r="P30" s="1">
        <f t="shared" si="3"/>
        <v>1335485.7159742622</v>
      </c>
      <c r="R30" s="8"/>
      <c r="S30" s="8"/>
      <c r="X30" t="s">
        <v>32</v>
      </c>
      <c r="Y30" s="3">
        <f t="shared" si="33"/>
        <v>1286.2545934493355</v>
      </c>
      <c r="Z30">
        <f t="shared" si="5"/>
        <v>31098.046077982202</v>
      </c>
      <c r="AA30" s="3">
        <f t="shared" si="34"/>
        <v>10830.883639621663</v>
      </c>
      <c r="AB30">
        <f t="shared" si="6"/>
        <v>38000</v>
      </c>
      <c r="AC30" s="9">
        <f t="shared" si="7"/>
        <v>-41937.439721427574</v>
      </c>
      <c r="AD30">
        <f t="shared" si="8"/>
        <v>-8018.0025947348031</v>
      </c>
      <c r="AE30">
        <f t="shared" si="35"/>
        <v>-176396.05708416566</v>
      </c>
      <c r="AG30" s="3">
        <f t="shared" si="9"/>
        <v>2291305.6827330464</v>
      </c>
      <c r="AH30">
        <f t="shared" si="36"/>
        <v>403043.77861493547</v>
      </c>
      <c r="AI30" s="3">
        <f t="shared" si="37"/>
        <v>400000</v>
      </c>
      <c r="AJ30" s="3">
        <f t="shared" si="38"/>
        <v>1488261.9041181109</v>
      </c>
      <c r="AK30" s="3">
        <f t="shared" si="39"/>
        <v>-430819.9667587842</v>
      </c>
      <c r="AL30" s="3">
        <f t="shared" si="40"/>
        <v>1057441.9373593268</v>
      </c>
    </row>
    <row r="31" spans="4:38" x14ac:dyDescent="0.25">
      <c r="D31" s="17" t="s">
        <v>33</v>
      </c>
      <c r="E31" s="1">
        <f t="shared" si="29"/>
        <v>2424201.412331563</v>
      </c>
      <c r="F31" s="1">
        <f t="shared" si="30"/>
        <v>40038.734325402089</v>
      </c>
      <c r="G31" s="2">
        <f t="shared" si="0"/>
        <v>1.6516257321578489E-2</v>
      </c>
      <c r="H31" s="15">
        <f t="shared" si="10"/>
        <v>0</v>
      </c>
      <c r="I31" s="1">
        <f t="shared" si="11"/>
        <v>11005.810148810313</v>
      </c>
      <c r="J31" s="3">
        <f t="shared" si="31"/>
        <v>400000</v>
      </c>
      <c r="K31" s="1">
        <f t="shared" si="1"/>
        <v>26000</v>
      </c>
      <c r="L31" s="3">
        <f t="shared" si="2"/>
        <v>1539361.1298652506</v>
      </c>
      <c r="M31" s="3">
        <f t="shared" si="21"/>
        <v>1910.7422312528188</v>
      </c>
      <c r="N31" s="3">
        <f t="shared" si="32"/>
        <v>-456050.88243333477</v>
      </c>
      <c r="O31" s="1">
        <f t="shared" si="22"/>
        <v>-28731.205593300092</v>
      </c>
      <c r="P31" s="1">
        <f t="shared" si="3"/>
        <v>1443150.5298982281</v>
      </c>
      <c r="S31" s="3"/>
      <c r="X31" t="s">
        <v>33</v>
      </c>
      <c r="Y31" s="3">
        <f t="shared" si="33"/>
        <v>1910.7422312528188</v>
      </c>
      <c r="Z31">
        <f t="shared" si="5"/>
        <v>32030.987460321674</v>
      </c>
      <c r="AA31" s="3">
        <f t="shared" si="34"/>
        <v>11005.810148810313</v>
      </c>
      <c r="AB31">
        <f t="shared" si="6"/>
        <v>38000</v>
      </c>
      <c r="AC31" s="9">
        <f t="shared" si="7"/>
        <v>-41937.439721427574</v>
      </c>
      <c r="AD31">
        <f t="shared" si="8"/>
        <v>-7737.537091668999</v>
      </c>
      <c r="AE31">
        <f t="shared" si="35"/>
        <v>-170225.81601671799</v>
      </c>
      <c r="AG31" s="3">
        <f t="shared" si="9"/>
        <v>2424201.412331563</v>
      </c>
      <c r="AH31">
        <f t="shared" si="36"/>
        <v>432945.31777460169</v>
      </c>
      <c r="AI31" s="3">
        <f t="shared" si="37"/>
        <v>400000</v>
      </c>
      <c r="AJ31" s="3">
        <f t="shared" si="38"/>
        <v>1591256.0945569612</v>
      </c>
      <c r="AK31" s="3">
        <f t="shared" si="39"/>
        <v>-456050.88243333477</v>
      </c>
      <c r="AL31" s="3">
        <f t="shared" si="40"/>
        <v>1135205.2121236264</v>
      </c>
    </row>
    <row r="32" spans="4:38" x14ac:dyDescent="0.25">
      <c r="D32" s="17" t="s">
        <v>34</v>
      </c>
      <c r="E32" s="1">
        <f t="shared" si="29"/>
        <v>2564805.0942467935</v>
      </c>
      <c r="F32" s="1">
        <f t="shared" si="30"/>
        <v>41239.89635516415</v>
      </c>
      <c r="G32" s="2">
        <f t="shared" si="0"/>
        <v>1.6079154103238038E-2</v>
      </c>
      <c r="H32" s="15">
        <f t="shared" si="10"/>
        <v>0</v>
      </c>
      <c r="I32" s="1">
        <f t="shared" si="11"/>
        <v>11185.984453274621</v>
      </c>
      <c r="J32" s="3">
        <f t="shared" si="31"/>
        <v>400000</v>
      </c>
      <c r="K32" s="1">
        <f t="shared" si="1"/>
        <v>26000</v>
      </c>
      <c r="L32" s="3">
        <f t="shared" si="2"/>
        <v>1651844.0753974349</v>
      </c>
      <c r="M32" s="3">
        <f t="shared" si="21"/>
        <v>2553.9644981904034</v>
      </c>
      <c r="N32" s="3">
        <f t="shared" si="32"/>
        <v>-482228.1235284445</v>
      </c>
      <c r="O32" s="1">
        <f t="shared" si="22"/>
        <v>-30380.371782292008</v>
      </c>
      <c r="P32" s="1">
        <f t="shared" si="3"/>
        <v>1557576.9707183491</v>
      </c>
      <c r="S32" s="1"/>
      <c r="X32" t="s">
        <v>34</v>
      </c>
      <c r="Y32" s="3">
        <f t="shared" si="33"/>
        <v>2553.9644981904034</v>
      </c>
      <c r="Z32">
        <f t="shared" si="5"/>
        <v>32991.917084131324</v>
      </c>
      <c r="AA32" s="3">
        <f t="shared" si="34"/>
        <v>11185.984453274621</v>
      </c>
      <c r="AB32">
        <f t="shared" si="6"/>
        <v>38000</v>
      </c>
      <c r="AC32" s="9">
        <f t="shared" si="7"/>
        <v>-41937.439721427574</v>
      </c>
      <c r="AD32">
        <f t="shared" si="8"/>
        <v>-7448.6576235112225</v>
      </c>
      <c r="AE32">
        <f t="shared" si="35"/>
        <v>-163870.46771724691</v>
      </c>
      <c r="AG32" s="3">
        <f t="shared" si="9"/>
        <v>2564805.0942467935</v>
      </c>
      <c r="AH32">
        <f t="shared" si="36"/>
        <v>464581.14620552858</v>
      </c>
      <c r="AI32" s="3">
        <f t="shared" si="37"/>
        <v>400000</v>
      </c>
      <c r="AJ32" s="3">
        <f t="shared" si="38"/>
        <v>1700223.9480412649</v>
      </c>
      <c r="AK32" s="3">
        <f t="shared" si="39"/>
        <v>-482228.1235284445</v>
      </c>
      <c r="AL32" s="3">
        <f t="shared" si="40"/>
        <v>1217995.8245128205</v>
      </c>
    </row>
    <row r="33" spans="4:38" x14ac:dyDescent="0.25">
      <c r="D33" s="17" t="s">
        <v>35</v>
      </c>
      <c r="E33" s="1">
        <f t="shared" si="29"/>
        <v>2713563.7897131075</v>
      </c>
      <c r="F33" s="1">
        <f t="shared" si="30"/>
        <v>42477.093245819073</v>
      </c>
      <c r="G33" s="2">
        <f t="shared" si="0"/>
        <v>1.5653618833965197E-2</v>
      </c>
      <c r="H33" s="15">
        <f t="shared" si="10"/>
        <v>0</v>
      </c>
      <c r="I33" s="1">
        <f t="shared" si="11"/>
        <v>11371.563986872861</v>
      </c>
      <c r="J33" s="3">
        <f t="shared" si="31"/>
        <v>400000</v>
      </c>
      <c r="K33" s="1">
        <f t="shared" si="1"/>
        <v>26000</v>
      </c>
      <c r="L33" s="3">
        <f t="shared" si="2"/>
        <v>1770851.0317704859</v>
      </c>
      <c r="M33" s="3">
        <f t="shared" si="21"/>
        <v>3216.483433136113</v>
      </c>
      <c r="N33" s="3">
        <f t="shared" si="32"/>
        <v>-509392.01187760039</v>
      </c>
      <c r="O33" s="1">
        <f t="shared" si="22"/>
        <v>-32091.696748288829</v>
      </c>
      <c r="P33" s="1">
        <f t="shared" si="3"/>
        <v>1679171.7778355069</v>
      </c>
      <c r="S33" s="3"/>
      <c r="X33" t="s">
        <v>35</v>
      </c>
      <c r="Y33" s="3">
        <f t="shared" si="33"/>
        <v>3216.483433136113</v>
      </c>
      <c r="Z33">
        <f t="shared" si="5"/>
        <v>33981.674596655263</v>
      </c>
      <c r="AA33" s="3">
        <f t="shared" si="34"/>
        <v>11371.563986872861</v>
      </c>
      <c r="AB33">
        <f t="shared" si="6"/>
        <v>38000</v>
      </c>
      <c r="AC33" s="9">
        <f t="shared" si="7"/>
        <v>-41937.439721427574</v>
      </c>
      <c r="AD33">
        <f t="shared" si="8"/>
        <v>-7151.1117713087142</v>
      </c>
      <c r="AE33">
        <f t="shared" si="35"/>
        <v>-157324.4589687917</v>
      </c>
      <c r="AG33" s="3">
        <f t="shared" si="9"/>
        <v>2713563.7897131075</v>
      </c>
      <c r="AH33">
        <f t="shared" si="36"/>
        <v>498051.85268544918</v>
      </c>
      <c r="AI33" s="3">
        <f t="shared" si="37"/>
        <v>400000</v>
      </c>
      <c r="AJ33" s="3">
        <f t="shared" si="38"/>
        <v>1815511.9370276583</v>
      </c>
      <c r="AK33" s="3">
        <f t="shared" si="39"/>
        <v>-509392.01187760039</v>
      </c>
      <c r="AL33" s="3">
        <f t="shared" si="40"/>
        <v>1306119.925150058</v>
      </c>
    </row>
    <row r="35" spans="4:38" x14ac:dyDescent="0.25">
      <c r="S35" s="3"/>
      <c r="AC35" s="9"/>
    </row>
    <row r="36" spans="4:38" x14ac:dyDescent="0.25">
      <c r="S36" s="3"/>
    </row>
    <row r="37" spans="4:38" x14ac:dyDescent="0.25">
      <c r="S37" s="3"/>
    </row>
    <row r="38" spans="4:38" x14ac:dyDescent="0.25">
      <c r="AC38">
        <v>4.5</v>
      </c>
      <c r="AD38">
        <v>-12117</v>
      </c>
      <c r="AE38">
        <f>228127-484000</f>
        <v>-255873</v>
      </c>
      <c r="AF38">
        <f>+AE38/AD38</f>
        <v>21.11686060906165</v>
      </c>
    </row>
    <row r="39" spans="4:38" x14ac:dyDescent="0.25">
      <c r="AC39">
        <v>8</v>
      </c>
      <c r="AD39">
        <v>-7851</v>
      </c>
      <c r="AE39">
        <f>288650-484000</f>
        <v>-195350</v>
      </c>
      <c r="AF39">
        <f t="shared" ref="AF39:AF41" si="41">+AE39/AD39</f>
        <v>24.88218061393453</v>
      </c>
    </row>
    <row r="40" spans="4:38" x14ac:dyDescent="0.25">
      <c r="AC40">
        <v>12</v>
      </c>
      <c r="AD40">
        <v>-2976</v>
      </c>
      <c r="AE40">
        <f>416431-484000</f>
        <v>-67569</v>
      </c>
      <c r="AF40">
        <f t="shared" si="41"/>
        <v>22.704637096774192</v>
      </c>
    </row>
    <row r="41" spans="4:38" x14ac:dyDescent="0.25">
      <c r="AC41">
        <v>15</v>
      </c>
      <c r="AD41">
        <v>679</v>
      </c>
      <c r="AE41">
        <f>512265-484000</f>
        <v>28265</v>
      </c>
      <c r="AF41">
        <f t="shared" si="41"/>
        <v>41.627393225331367</v>
      </c>
    </row>
  </sheetData>
  <mergeCells count="5">
    <mergeCell ref="M1:O1"/>
    <mergeCell ref="A2:B2"/>
    <mergeCell ref="AG1:AL1"/>
    <mergeCell ref="X1:AE1"/>
    <mergeCell ref="E1:L1"/>
  </mergeCells>
  <conditionalFormatting sqref="L3:P33 AD3:AE33">
    <cfRule type="cellIs" dxfId="3" priority="7" operator="lessThan">
      <formula>0</formula>
    </cfRule>
    <cfRule type="cellIs" dxfId="2" priority="8" operator="greaterThan">
      <formula>0</formula>
    </cfRule>
  </conditionalFormatting>
  <dataValidations count="1">
    <dataValidation type="list" allowBlank="1" showInputMessage="1" showErrorMessage="1" sqref="S3" xr:uid="{94E23726-A711-4DF7-8E6D-B16423B1F044}">
      <formula1>$D$2:$D$33</formula1>
    </dataValidation>
  </dataValidations>
  <pageMargins left="0.7" right="0.7" top="0.75" bottom="0.75" header="0.3" footer="0.3"/>
  <pageSetup orientation="portrait" horizontalDpi="1200" verticalDpi="12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3C9A4-FABB-4891-97B2-B990C2FAE64D}">
  <dimension ref="A1:AL41"/>
  <sheetViews>
    <sheetView workbookViewId="0">
      <selection activeCell="B7" sqref="B7"/>
    </sheetView>
  </sheetViews>
  <sheetFormatPr defaultRowHeight="15" x14ac:dyDescent="0.25"/>
  <cols>
    <col min="1" max="1" width="42.85546875" bestFit="1" customWidth="1"/>
    <col min="2" max="2" width="14.28515625" bestFit="1" customWidth="1"/>
    <col min="5" max="5" width="21.7109375" bestFit="1" customWidth="1"/>
    <col min="6" max="6" width="17.7109375" bestFit="1" customWidth="1"/>
    <col min="7" max="8" width="17.7109375" customWidth="1"/>
    <col min="9" max="9" width="13.140625" bestFit="1" customWidth="1"/>
    <col min="10" max="10" width="12.85546875" bestFit="1" customWidth="1"/>
    <col min="11" max="11" width="12.140625" bestFit="1" customWidth="1"/>
    <col min="12" max="12" width="20.5703125" bestFit="1" customWidth="1"/>
    <col min="13" max="13" width="12.5703125" bestFit="1" customWidth="1"/>
    <col min="14" max="14" width="14.28515625" bestFit="1" customWidth="1"/>
    <col min="15" max="15" width="14.42578125" customWidth="1"/>
    <col min="16" max="16" width="15.28515625" bestFit="1" customWidth="1"/>
    <col min="18" max="18" width="18.7109375" bestFit="1" customWidth="1"/>
    <col min="19" max="19" width="14.28515625" bestFit="1" customWidth="1"/>
    <col min="24" max="25" width="12.5703125" bestFit="1" customWidth="1"/>
    <col min="26" max="26" width="14" bestFit="1" customWidth="1"/>
    <col min="27" max="27" width="15.5703125" bestFit="1" customWidth="1"/>
    <col min="28" max="28" width="14" bestFit="1" customWidth="1"/>
    <col min="29" max="29" width="21.42578125" bestFit="1" customWidth="1"/>
    <col min="30" max="30" width="17.7109375" bestFit="1" customWidth="1"/>
    <col min="31" max="31" width="23.5703125" bestFit="1" customWidth="1"/>
    <col min="33" max="33" width="14.28515625" bestFit="1" customWidth="1"/>
    <col min="34" max="34" width="18.7109375" bestFit="1" customWidth="1"/>
    <col min="35" max="35" width="12.85546875" bestFit="1" customWidth="1"/>
    <col min="36" max="36" width="14.28515625" bestFit="1" customWidth="1"/>
    <col min="37" max="37" width="13.140625" bestFit="1" customWidth="1"/>
    <col min="38" max="38" width="14.28515625" bestFit="1" customWidth="1"/>
  </cols>
  <sheetData>
    <row r="1" spans="1:38" x14ac:dyDescent="0.25">
      <c r="E1" s="39" t="s">
        <v>93</v>
      </c>
      <c r="F1" s="39"/>
      <c r="G1" s="39"/>
      <c r="H1" s="39"/>
      <c r="I1" s="39"/>
      <c r="J1" s="39"/>
      <c r="K1" s="39"/>
      <c r="L1" s="39"/>
      <c r="M1" s="39" t="s">
        <v>43</v>
      </c>
      <c r="N1" s="39"/>
      <c r="O1" s="39"/>
      <c r="X1" s="40" t="s">
        <v>92</v>
      </c>
      <c r="Y1" s="40"/>
      <c r="Z1" s="40"/>
      <c r="AA1" s="40"/>
      <c r="AB1" s="40"/>
      <c r="AC1" s="40"/>
      <c r="AD1" s="40"/>
      <c r="AE1" s="40"/>
      <c r="AG1" s="40" t="s">
        <v>91</v>
      </c>
      <c r="AH1" s="40"/>
      <c r="AI1" s="40"/>
      <c r="AJ1" s="40"/>
      <c r="AK1" s="40"/>
      <c r="AL1" s="40"/>
    </row>
    <row r="2" spans="1:38" x14ac:dyDescent="0.25">
      <c r="A2" s="39" t="s">
        <v>48</v>
      </c>
      <c r="B2" s="39"/>
      <c r="D2" s="17" t="s">
        <v>36</v>
      </c>
      <c r="E2" s="17" t="s">
        <v>0</v>
      </c>
      <c r="F2" s="17" t="s">
        <v>38</v>
      </c>
      <c r="G2" s="17" t="s">
        <v>73</v>
      </c>
      <c r="H2" s="17" t="s">
        <v>90</v>
      </c>
      <c r="I2" s="17" t="s">
        <v>39</v>
      </c>
      <c r="J2" s="17" t="s">
        <v>41</v>
      </c>
      <c r="K2" s="17" t="s">
        <v>40</v>
      </c>
      <c r="L2" s="17" t="s">
        <v>78</v>
      </c>
      <c r="M2" s="17" t="s">
        <v>44</v>
      </c>
      <c r="N2" s="17" t="s">
        <v>45</v>
      </c>
      <c r="O2" s="17" t="s">
        <v>46</v>
      </c>
      <c r="P2" s="17" t="s">
        <v>47</v>
      </c>
      <c r="X2" s="17" t="s">
        <v>36</v>
      </c>
      <c r="Y2" s="17" t="s">
        <v>53</v>
      </c>
      <c r="Z2" s="17" t="s">
        <v>54</v>
      </c>
      <c r="AA2" s="17" t="s">
        <v>55</v>
      </c>
      <c r="AB2" s="17" t="s">
        <v>56</v>
      </c>
      <c r="AC2" s="17" t="s">
        <v>76</v>
      </c>
      <c r="AD2" s="17" t="s">
        <v>57</v>
      </c>
      <c r="AE2" s="17" t="s">
        <v>77</v>
      </c>
      <c r="AG2" s="17" t="s">
        <v>49</v>
      </c>
      <c r="AH2" s="17" t="s">
        <v>50</v>
      </c>
      <c r="AI2" s="17" t="s">
        <v>51</v>
      </c>
      <c r="AJ2" s="17" t="s">
        <v>64</v>
      </c>
      <c r="AK2" s="17" t="s">
        <v>45</v>
      </c>
      <c r="AL2" s="17" t="s">
        <v>65</v>
      </c>
    </row>
    <row r="3" spans="1:38" x14ac:dyDescent="0.25">
      <c r="A3" s="13" t="s">
        <v>0</v>
      </c>
      <c r="B3" s="14">
        <f>+Compare!$C25</f>
        <v>500000</v>
      </c>
      <c r="D3" s="17" t="s">
        <v>5</v>
      </c>
      <c r="E3" s="3">
        <f>+B3</f>
        <v>500000</v>
      </c>
      <c r="F3" s="1">
        <f>+E3*$B$6</f>
        <v>27500</v>
      </c>
      <c r="G3" s="2">
        <f t="shared" ref="G3:G33" si="0">+F3/E3</f>
        <v>5.5E-2</v>
      </c>
      <c r="H3" s="15">
        <f>+$B$8</f>
        <v>0</v>
      </c>
      <c r="I3" s="1">
        <f>+F3*$B$9+5000+H3</f>
        <v>9125</v>
      </c>
      <c r="J3" s="3">
        <f>+B10</f>
        <v>400000</v>
      </c>
      <c r="K3" s="1">
        <f t="shared" ref="K3:K33" si="1">+J3*$B$11</f>
        <v>26000</v>
      </c>
      <c r="L3" s="3">
        <f t="shared" ref="L3:L33" si="2">+E3*0.8-J3</f>
        <v>0</v>
      </c>
      <c r="M3" s="3">
        <v>0</v>
      </c>
      <c r="N3" s="3">
        <f>+M3</f>
        <v>0</v>
      </c>
      <c r="O3">
        <f>+N3*$B$13</f>
        <v>0</v>
      </c>
      <c r="P3" s="3">
        <f t="shared" ref="P3:P33" si="3">+N3+E3-J3-$B$4</f>
        <v>-25000</v>
      </c>
      <c r="R3" s="4" t="s">
        <v>52</v>
      </c>
      <c r="S3" s="5" t="s">
        <v>13</v>
      </c>
      <c r="X3" t="s">
        <v>5</v>
      </c>
      <c r="Y3" s="3">
        <f t="shared" ref="Y3:Y7" si="4">+M3</f>
        <v>0</v>
      </c>
      <c r="Z3">
        <f t="shared" ref="Z3:Z33" si="5">+F3*0.8</f>
        <v>22000</v>
      </c>
      <c r="AA3" s="3">
        <f>+I3</f>
        <v>9125</v>
      </c>
      <c r="AB3">
        <f t="shared" ref="AB3:AB33" si="6">+J3*($B$11+0.03)</f>
        <v>38000</v>
      </c>
      <c r="AC3" s="9">
        <f t="shared" ref="AC3:AC33" si="7">+PMT(($B$11+0.03)/12,300,$J3)*12</f>
        <v>-41937.439721427574</v>
      </c>
      <c r="AD3">
        <f t="shared" ref="AD3:AD33" si="8">+(Z3-AA3+AC3)*$B$12</f>
        <v>-10753.102696928203</v>
      </c>
      <c r="AE3">
        <f>+AD3*22</f>
        <v>-236568.25933242048</v>
      </c>
      <c r="AG3" s="3">
        <f t="shared" ref="AG3:AG33" si="9">+E3</f>
        <v>500000</v>
      </c>
      <c r="AH3">
        <f>+(AG3-$B$3)*0.5*0.45</f>
        <v>0</v>
      </c>
      <c r="AI3" s="3">
        <f>+J3</f>
        <v>400000</v>
      </c>
      <c r="AJ3" s="3">
        <f>+AG3-AH3-AI3</f>
        <v>100000</v>
      </c>
      <c r="AK3" s="3">
        <f>+N3</f>
        <v>0</v>
      </c>
      <c r="AL3" s="3">
        <f>+AJ3+AK3</f>
        <v>100000</v>
      </c>
    </row>
    <row r="4" spans="1:38" x14ac:dyDescent="0.25">
      <c r="A4" s="13" t="s">
        <v>4</v>
      </c>
      <c r="B4" s="14">
        <f>+Compare!$C26</f>
        <v>125000</v>
      </c>
      <c r="D4" s="17" t="s">
        <v>6</v>
      </c>
      <c r="E4" s="1">
        <f>+E3*(1+$B$5)</f>
        <v>524000</v>
      </c>
      <c r="F4" s="1">
        <f>+F3*(1+$B$7)</f>
        <v>28325</v>
      </c>
      <c r="G4" s="2">
        <f t="shared" si="0"/>
        <v>5.4055343511450381E-2</v>
      </c>
      <c r="H4" s="15">
        <f t="shared" ref="H4:H33" si="10">+$B$8</f>
        <v>0</v>
      </c>
      <c r="I4" s="1">
        <f t="shared" ref="I4:I33" si="11">+F4*$B$9+5000+H4</f>
        <v>9248.75</v>
      </c>
      <c r="J4" s="3">
        <f>+J3</f>
        <v>400000</v>
      </c>
      <c r="K4" s="1">
        <f t="shared" si="1"/>
        <v>26000</v>
      </c>
      <c r="L4" s="3">
        <f t="shared" si="2"/>
        <v>19200</v>
      </c>
      <c r="M4" s="3">
        <f t="shared" ref="M4:M33" si="12">+(F4-I4-K4)*(1-$B$12)+$B$14</f>
        <v>-4361.9624999999996</v>
      </c>
      <c r="N4" s="3">
        <f>+N3+M4</f>
        <v>-4361.9624999999996</v>
      </c>
      <c r="O4" s="1">
        <f t="shared" ref="O4:O33" si="13">+N4*$B$13*(1-$B$12)</f>
        <v>-274.80363749999998</v>
      </c>
      <c r="P4" s="1">
        <f t="shared" si="3"/>
        <v>-5361.9625000000233</v>
      </c>
      <c r="R4" t="s">
        <v>49</v>
      </c>
      <c r="S4" s="6">
        <f>VLOOKUP(S3,D2:P33,2,FALSE)</f>
        <v>727545.6786617334</v>
      </c>
      <c r="T4" t="s">
        <v>87</v>
      </c>
      <c r="X4" t="s">
        <v>6</v>
      </c>
      <c r="Y4" s="3">
        <f t="shared" si="4"/>
        <v>-4361.9624999999996</v>
      </c>
      <c r="Z4">
        <f t="shared" si="5"/>
        <v>22660</v>
      </c>
      <c r="AA4" s="3">
        <f>+I4</f>
        <v>9248.75</v>
      </c>
      <c r="AB4">
        <f t="shared" si="6"/>
        <v>38000</v>
      </c>
      <c r="AC4" s="9">
        <f t="shared" si="7"/>
        <v>-41937.439721427574</v>
      </c>
      <c r="AD4">
        <f t="shared" si="8"/>
        <v>-10554.690196928203</v>
      </c>
      <c r="AE4">
        <f t="shared" ref="AE4:AE7" si="14">+AD4*22</f>
        <v>-232203.18433242047</v>
      </c>
      <c r="AG4" s="3">
        <f t="shared" si="9"/>
        <v>524000</v>
      </c>
      <c r="AH4">
        <f t="shared" ref="AH4:AH7" si="15">+(AG4-$B$3)*0.5*0.45</f>
        <v>5400</v>
      </c>
      <c r="AI4" s="3">
        <f t="shared" ref="AI4:AI7" si="16">+J4</f>
        <v>400000</v>
      </c>
      <c r="AJ4" s="3">
        <f t="shared" ref="AJ4:AJ7" si="17">+AG4-AH4-AI4</f>
        <v>118600</v>
      </c>
      <c r="AK4" s="3">
        <f t="shared" ref="AK4:AK7" si="18">+N4</f>
        <v>-4361.9624999999996</v>
      </c>
      <c r="AL4" s="3">
        <f t="shared" ref="AL4:AL7" si="19">+AJ4+AK4</f>
        <v>114238.03750000001</v>
      </c>
    </row>
    <row r="5" spans="1:38" x14ac:dyDescent="0.25">
      <c r="A5" s="13" t="s">
        <v>1</v>
      </c>
      <c r="B5" s="16">
        <f>+Compare!$C27</f>
        <v>4.8000000000000001E-2</v>
      </c>
      <c r="D5" s="17" t="s">
        <v>7</v>
      </c>
      <c r="E5" s="1">
        <f t="shared" ref="E5:E7" si="20">+E4*(1+$B$5)</f>
        <v>549152</v>
      </c>
      <c r="F5" s="1">
        <f t="shared" ref="F5:F7" si="21">+F4*(1+$B$7)</f>
        <v>29174.75</v>
      </c>
      <c r="G5" s="2">
        <f t="shared" si="0"/>
        <v>5.3126912038925472E-2</v>
      </c>
      <c r="H5" s="15">
        <f t="shared" si="10"/>
        <v>0</v>
      </c>
      <c r="I5" s="1">
        <f t="shared" si="11"/>
        <v>9376.2124999999996</v>
      </c>
      <c r="J5" s="3">
        <f t="shared" ref="J5:J7" si="22">+J4</f>
        <v>400000</v>
      </c>
      <c r="K5" s="1">
        <f t="shared" si="1"/>
        <v>26000</v>
      </c>
      <c r="L5" s="3">
        <f t="shared" si="2"/>
        <v>39321.600000000035</v>
      </c>
      <c r="M5" s="3">
        <f t="shared" si="12"/>
        <v>-3906.9213750000008</v>
      </c>
      <c r="N5" s="3">
        <f>+N4+M5+O4</f>
        <v>-8543.6875124999988</v>
      </c>
      <c r="O5" s="1">
        <f t="shared" si="13"/>
        <v>-538.25231328749999</v>
      </c>
      <c r="P5" s="1">
        <f t="shared" si="3"/>
        <v>15608.312487500021</v>
      </c>
      <c r="R5" t="s">
        <v>50</v>
      </c>
      <c r="S5" s="7">
        <f>+(S4-B3)*0.5*0.45</f>
        <v>51197.777698890015</v>
      </c>
      <c r="X5" t="s">
        <v>7</v>
      </c>
      <c r="Y5" s="3">
        <f t="shared" si="4"/>
        <v>-3906.9213750000008</v>
      </c>
      <c r="Z5">
        <f t="shared" si="5"/>
        <v>23339.800000000003</v>
      </c>
      <c r="AA5" s="3">
        <f>+I5</f>
        <v>9376.2124999999996</v>
      </c>
      <c r="AB5">
        <f t="shared" si="6"/>
        <v>38000</v>
      </c>
      <c r="AC5" s="9">
        <f t="shared" si="7"/>
        <v>-41937.439721427574</v>
      </c>
      <c r="AD5">
        <f t="shared" si="8"/>
        <v>-10350.325321928201</v>
      </c>
      <c r="AE5">
        <f t="shared" si="14"/>
        <v>-227707.15708242042</v>
      </c>
      <c r="AG5" s="3">
        <f t="shared" si="9"/>
        <v>549152</v>
      </c>
      <c r="AH5">
        <f t="shared" si="15"/>
        <v>11059.2</v>
      </c>
      <c r="AI5" s="3">
        <f t="shared" si="16"/>
        <v>400000</v>
      </c>
      <c r="AJ5" s="3">
        <f t="shared" si="17"/>
        <v>138092.80000000005</v>
      </c>
      <c r="AK5" s="3">
        <f t="shared" si="18"/>
        <v>-8543.6875124999988</v>
      </c>
      <c r="AL5" s="3">
        <f t="shared" si="19"/>
        <v>129549.11248750005</v>
      </c>
    </row>
    <row r="6" spans="1:38" x14ac:dyDescent="0.25">
      <c r="A6" s="13" t="s">
        <v>68</v>
      </c>
      <c r="B6" s="16">
        <f>+Compare!$C28</f>
        <v>5.5E-2</v>
      </c>
      <c r="D6" s="17" t="s">
        <v>8</v>
      </c>
      <c r="E6" s="1">
        <f t="shared" si="20"/>
        <v>575511.29599999997</v>
      </c>
      <c r="F6" s="1">
        <f t="shared" si="21"/>
        <v>30049.9925</v>
      </c>
      <c r="G6" s="2">
        <f t="shared" si="0"/>
        <v>5.2214426908485913E-2</v>
      </c>
      <c r="H6" s="15">
        <f t="shared" si="10"/>
        <v>0</v>
      </c>
      <c r="I6" s="1">
        <f t="shared" si="11"/>
        <v>9507.4988750000011</v>
      </c>
      <c r="J6" s="3">
        <f t="shared" si="22"/>
        <v>400000</v>
      </c>
      <c r="K6" s="1">
        <f t="shared" si="1"/>
        <v>26000</v>
      </c>
      <c r="L6" s="3">
        <f t="shared" si="2"/>
        <v>60409.036800000002</v>
      </c>
      <c r="M6" s="3">
        <f t="shared" si="12"/>
        <v>-3438.2290162500008</v>
      </c>
      <c r="N6" s="3">
        <f t="shared" ref="N6:N7" si="23">+N5+M6+O5</f>
        <v>-12520.168842037499</v>
      </c>
      <c r="O6" s="1">
        <f t="shared" si="13"/>
        <v>-788.77063704836257</v>
      </c>
      <c r="P6" s="1">
        <f t="shared" si="3"/>
        <v>37991.127157962415</v>
      </c>
      <c r="R6" t="s">
        <v>51</v>
      </c>
      <c r="S6" s="6">
        <f>VLOOKUP(S3,D2:K33,6,FALSE)</f>
        <v>10225.426585723917</v>
      </c>
      <c r="X6" t="s">
        <v>8</v>
      </c>
      <c r="Y6" s="3">
        <f t="shared" si="4"/>
        <v>-3438.2290162500008</v>
      </c>
      <c r="Z6">
        <f t="shared" si="5"/>
        <v>24039.994000000002</v>
      </c>
      <c r="AA6" s="3">
        <f>+I6</f>
        <v>9507.4988750000011</v>
      </c>
      <c r="AB6">
        <f t="shared" si="6"/>
        <v>38000</v>
      </c>
      <c r="AC6" s="9">
        <f t="shared" si="7"/>
        <v>-41937.439721427574</v>
      </c>
      <c r="AD6">
        <f t="shared" si="8"/>
        <v>-10139.829500678201</v>
      </c>
      <c r="AE6">
        <f t="shared" si="14"/>
        <v>-223076.24901492041</v>
      </c>
      <c r="AG6" s="3">
        <f t="shared" si="9"/>
        <v>575511.29599999997</v>
      </c>
      <c r="AH6">
        <f t="shared" si="15"/>
        <v>16990.041599999993</v>
      </c>
      <c r="AI6" s="3">
        <f t="shared" si="16"/>
        <v>400000</v>
      </c>
      <c r="AJ6" s="3">
        <f t="shared" si="17"/>
        <v>158521.25439999998</v>
      </c>
      <c r="AK6" s="3">
        <f t="shared" si="18"/>
        <v>-12520.168842037499</v>
      </c>
      <c r="AL6" s="3">
        <f t="shared" si="19"/>
        <v>146001.08555796248</v>
      </c>
    </row>
    <row r="7" spans="1:38" x14ac:dyDescent="0.25">
      <c r="A7" s="13" t="s">
        <v>69</v>
      </c>
      <c r="B7" s="16">
        <f>+Compare!$C29</f>
        <v>0.03</v>
      </c>
      <c r="D7" s="17" t="s">
        <v>9</v>
      </c>
      <c r="E7" s="1">
        <f t="shared" si="20"/>
        <v>603135.83820799994</v>
      </c>
      <c r="F7" s="1">
        <f t="shared" si="21"/>
        <v>30951.492275000001</v>
      </c>
      <c r="G7" s="2">
        <f t="shared" si="0"/>
        <v>5.1317614232576809E-2</v>
      </c>
      <c r="H7" s="15">
        <f t="shared" si="10"/>
        <v>0</v>
      </c>
      <c r="I7" s="1">
        <f t="shared" si="11"/>
        <v>9642.723841250001</v>
      </c>
      <c r="J7" s="3">
        <f t="shared" si="22"/>
        <v>400000</v>
      </c>
      <c r="K7" s="1">
        <f t="shared" si="1"/>
        <v>26000</v>
      </c>
      <c r="L7" s="3">
        <f t="shared" si="2"/>
        <v>82508.670566399989</v>
      </c>
      <c r="M7" s="3">
        <f t="shared" si="12"/>
        <v>-2955.4758867375003</v>
      </c>
      <c r="N7" s="3">
        <f t="shared" si="23"/>
        <v>-16264.415365823363</v>
      </c>
      <c r="O7" s="1">
        <f t="shared" si="13"/>
        <v>-1024.6581680468719</v>
      </c>
      <c r="P7" s="1">
        <f t="shared" si="3"/>
        <v>61871.422842176631</v>
      </c>
      <c r="R7" t="s">
        <v>64</v>
      </c>
      <c r="S7" s="6">
        <f>+S4-S5-S6</f>
        <v>666122.47437711945</v>
      </c>
      <c r="X7" t="s">
        <v>9</v>
      </c>
      <c r="Y7" s="3">
        <f t="shared" si="4"/>
        <v>-2955.4758867375003</v>
      </c>
      <c r="Z7">
        <f t="shared" si="5"/>
        <v>24761.19382</v>
      </c>
      <c r="AA7" s="3">
        <f t="shared" ref="AA7" si="24">+I7</f>
        <v>9642.723841250001</v>
      </c>
      <c r="AB7">
        <f t="shared" si="6"/>
        <v>38000</v>
      </c>
      <c r="AC7" s="9">
        <f t="shared" si="7"/>
        <v>-41937.439721427574</v>
      </c>
      <c r="AD7">
        <f t="shared" si="8"/>
        <v>-9923.0188047907031</v>
      </c>
      <c r="AE7">
        <f t="shared" si="14"/>
        <v>-218306.41370539548</v>
      </c>
      <c r="AG7" s="3">
        <f t="shared" si="9"/>
        <v>603135.83820799994</v>
      </c>
      <c r="AH7">
        <f t="shared" si="15"/>
        <v>23205.563596799988</v>
      </c>
      <c r="AI7" s="3">
        <f t="shared" si="16"/>
        <v>400000</v>
      </c>
      <c r="AJ7" s="3">
        <f t="shared" si="17"/>
        <v>179930.27461119997</v>
      </c>
      <c r="AK7" s="3">
        <f t="shared" si="18"/>
        <v>-16264.415365823363</v>
      </c>
      <c r="AL7" s="3">
        <f t="shared" si="19"/>
        <v>163665.8592453766</v>
      </c>
    </row>
    <row r="8" spans="1:38" x14ac:dyDescent="0.25">
      <c r="A8" s="13" t="s">
        <v>89</v>
      </c>
      <c r="B8" s="14">
        <f>+Compare!$C30</f>
        <v>0</v>
      </c>
      <c r="D8" s="17" t="s">
        <v>10</v>
      </c>
      <c r="E8" s="1">
        <f t="shared" ref="E8:E33" si="25">+E7*(1+$B$5)</f>
        <v>632086.35844198393</v>
      </c>
      <c r="F8" s="1">
        <f t="shared" ref="F8:F33" si="26">+F7*(1+$B$7)</f>
        <v>31880.037043250002</v>
      </c>
      <c r="G8" s="2">
        <f t="shared" si="0"/>
        <v>5.0436204827818812E-2</v>
      </c>
      <c r="H8" s="15">
        <f t="shared" si="10"/>
        <v>0</v>
      </c>
      <c r="I8" s="1">
        <f t="shared" si="11"/>
        <v>9782.0055564875001</v>
      </c>
      <c r="J8" s="3">
        <f t="shared" ref="J8:J33" si="27">+J7</f>
        <v>400000</v>
      </c>
      <c r="K8" s="1">
        <f t="shared" si="1"/>
        <v>26000</v>
      </c>
      <c r="L8" s="3">
        <f t="shared" si="2"/>
        <v>105669.08675358718</v>
      </c>
      <c r="M8" s="3">
        <f t="shared" si="12"/>
        <v>-2458.2401633396239</v>
      </c>
      <c r="N8" s="3">
        <f t="shared" ref="N8:N33" si="28">+N7+M8+O7</f>
        <v>-19747.313697209858</v>
      </c>
      <c r="O8" s="1">
        <f t="shared" si="13"/>
        <v>-1244.0807629242211</v>
      </c>
      <c r="P8" s="1">
        <f t="shared" si="3"/>
        <v>87339.044744774117</v>
      </c>
      <c r="R8" t="s">
        <v>45</v>
      </c>
      <c r="S8" s="6">
        <f>VLOOKUP(S3,D2:P33,9,FALSE)</f>
        <v>182036.54292938672</v>
      </c>
      <c r="X8" t="s">
        <v>10</v>
      </c>
      <c r="Y8" s="3">
        <f t="shared" ref="Y8:Y33" si="29">+M8</f>
        <v>-2458.2401633396239</v>
      </c>
      <c r="Z8">
        <f t="shared" si="5"/>
        <v>25504.029634600003</v>
      </c>
      <c r="AA8" s="3">
        <f t="shared" ref="AA8:AA33" si="30">+I8</f>
        <v>9782.0055564875001</v>
      </c>
      <c r="AB8">
        <f t="shared" si="6"/>
        <v>38000</v>
      </c>
      <c r="AC8" s="9">
        <f t="shared" si="7"/>
        <v>-41937.439721427574</v>
      </c>
      <c r="AD8">
        <f t="shared" si="8"/>
        <v>-9699.7037880265761</v>
      </c>
      <c r="AE8">
        <f t="shared" ref="AE8:AE33" si="31">+AD8*22</f>
        <v>-213393.48333658467</v>
      </c>
      <c r="AG8" s="3">
        <f t="shared" si="9"/>
        <v>632086.35844198393</v>
      </c>
      <c r="AH8">
        <f t="shared" ref="AH8:AH33" si="32">+(AG8-$B$3)*0.5*0.45</f>
        <v>29719.430649446385</v>
      </c>
      <c r="AI8" s="3">
        <f t="shared" ref="AI8:AI33" si="33">+J8</f>
        <v>400000</v>
      </c>
      <c r="AJ8" s="3">
        <f t="shared" ref="AJ8:AJ33" si="34">+AG8-AH8-AI8</f>
        <v>202366.92779253749</v>
      </c>
      <c r="AK8" s="3">
        <f t="shared" ref="AK8:AK33" si="35">+N8</f>
        <v>-19747.313697209858</v>
      </c>
      <c r="AL8" s="3">
        <f t="shared" ref="AL8:AL33" si="36">+AJ8+AK8</f>
        <v>182619.61409532762</v>
      </c>
    </row>
    <row r="9" spans="1:38" x14ac:dyDescent="0.25">
      <c r="A9" s="13" t="s">
        <v>72</v>
      </c>
      <c r="B9" s="16">
        <f>+Compare!$C31</f>
        <v>0.15</v>
      </c>
      <c r="D9" s="17" t="s">
        <v>11</v>
      </c>
      <c r="E9" s="1">
        <f t="shared" si="25"/>
        <v>662426.50364719913</v>
      </c>
      <c r="F9" s="1">
        <f t="shared" si="26"/>
        <v>32836.438154547504</v>
      </c>
      <c r="G9" s="2">
        <f t="shared" si="0"/>
        <v>4.9569934134211242E-2</v>
      </c>
      <c r="H9" s="15">
        <f t="shared" si="10"/>
        <v>0</v>
      </c>
      <c r="I9" s="1">
        <f t="shared" si="11"/>
        <v>9925.4657231821257</v>
      </c>
      <c r="J9" s="3">
        <f t="shared" si="27"/>
        <v>400000</v>
      </c>
      <c r="K9" s="1">
        <f t="shared" si="1"/>
        <v>26000</v>
      </c>
      <c r="L9" s="3">
        <f t="shared" si="2"/>
        <v>129941.20291775931</v>
      </c>
      <c r="M9" s="3">
        <f t="shared" si="12"/>
        <v>-1946.0873682398114</v>
      </c>
      <c r="N9" s="3">
        <f t="shared" si="28"/>
        <v>-22937.481828373893</v>
      </c>
      <c r="O9" s="1">
        <f t="shared" si="13"/>
        <v>-1445.0613551875554</v>
      </c>
      <c r="P9" s="1">
        <f t="shared" si="3"/>
        <v>114489.02181882528</v>
      </c>
      <c r="R9" t="s">
        <v>65</v>
      </c>
      <c r="S9" s="6">
        <f>+S7+S8</f>
        <v>848159.01730650617</v>
      </c>
      <c r="X9" t="s">
        <v>11</v>
      </c>
      <c r="Y9" s="3">
        <f t="shared" si="29"/>
        <v>-1946.0873682398114</v>
      </c>
      <c r="Z9">
        <f t="shared" si="5"/>
        <v>26269.150523638004</v>
      </c>
      <c r="AA9" s="3">
        <f t="shared" si="30"/>
        <v>9925.4657231821257</v>
      </c>
      <c r="AB9">
        <f t="shared" si="6"/>
        <v>38000</v>
      </c>
      <c r="AC9" s="9">
        <f t="shared" si="7"/>
        <v>-41937.439721427574</v>
      </c>
      <c r="AD9">
        <f t="shared" si="8"/>
        <v>-9469.6893207595276</v>
      </c>
      <c r="AE9">
        <f t="shared" si="31"/>
        <v>-208333.16505670961</v>
      </c>
      <c r="AG9" s="3">
        <f t="shared" si="9"/>
        <v>662426.50364719913</v>
      </c>
      <c r="AH9">
        <f t="shared" si="32"/>
        <v>36545.963320619805</v>
      </c>
      <c r="AI9" s="3">
        <f t="shared" si="33"/>
        <v>400000</v>
      </c>
      <c r="AJ9" s="3">
        <f t="shared" si="34"/>
        <v>225880.54032657936</v>
      </c>
      <c r="AK9" s="3">
        <f t="shared" si="35"/>
        <v>-22937.481828373893</v>
      </c>
      <c r="AL9" s="3">
        <f t="shared" si="36"/>
        <v>202943.05849820547</v>
      </c>
    </row>
    <row r="10" spans="1:38" x14ac:dyDescent="0.25">
      <c r="A10" s="13" t="s">
        <v>37</v>
      </c>
      <c r="B10" s="14">
        <f>+Compare!$C32</f>
        <v>400000</v>
      </c>
      <c r="D10" s="17" t="s">
        <v>12</v>
      </c>
      <c r="E10" s="1">
        <f t="shared" si="25"/>
        <v>694222.97582226468</v>
      </c>
      <c r="F10" s="1">
        <f t="shared" si="26"/>
        <v>33821.531299183931</v>
      </c>
      <c r="G10" s="2">
        <f t="shared" si="0"/>
        <v>4.8718542135722888E-2</v>
      </c>
      <c r="H10" s="15">
        <f t="shared" si="10"/>
        <v>0</v>
      </c>
      <c r="I10" s="1">
        <f t="shared" si="11"/>
        <v>10073.229694877589</v>
      </c>
      <c r="J10" s="3">
        <f t="shared" si="27"/>
        <v>400000</v>
      </c>
      <c r="K10" s="1">
        <f t="shared" si="1"/>
        <v>26000</v>
      </c>
      <c r="L10" s="3">
        <f t="shared" si="2"/>
        <v>155378.38065781177</v>
      </c>
      <c r="M10" s="3">
        <f t="shared" si="12"/>
        <v>-1418.5699892870059</v>
      </c>
      <c r="N10" s="3">
        <f t="shared" si="28"/>
        <v>-25801.113172848454</v>
      </c>
      <c r="O10" s="1">
        <f t="shared" si="13"/>
        <v>-1625.4701298894527</v>
      </c>
      <c r="P10" s="1">
        <f t="shared" si="3"/>
        <v>143421.8626494162</v>
      </c>
      <c r="X10" t="s">
        <v>12</v>
      </c>
      <c r="Y10" s="3">
        <f t="shared" si="29"/>
        <v>-1418.5699892870059</v>
      </c>
      <c r="Z10">
        <f t="shared" si="5"/>
        <v>27057.225039347148</v>
      </c>
      <c r="AA10" s="3">
        <f t="shared" si="30"/>
        <v>10073.229694877589</v>
      </c>
      <c r="AB10">
        <f t="shared" si="6"/>
        <v>38000</v>
      </c>
      <c r="AC10" s="9">
        <f t="shared" si="7"/>
        <v>-41937.439721427574</v>
      </c>
      <c r="AD10">
        <f t="shared" si="8"/>
        <v>-9232.7744194744664</v>
      </c>
      <c r="AE10">
        <f t="shared" si="31"/>
        <v>-203121.03722843825</v>
      </c>
      <c r="AG10" s="3">
        <f t="shared" si="9"/>
        <v>694222.97582226468</v>
      </c>
      <c r="AH10">
        <f t="shared" si="32"/>
        <v>43700.169560009555</v>
      </c>
      <c r="AI10" s="3">
        <f t="shared" si="33"/>
        <v>400000</v>
      </c>
      <c r="AJ10" s="3">
        <f t="shared" si="34"/>
        <v>250522.80626225518</v>
      </c>
      <c r="AK10" s="3">
        <f t="shared" si="35"/>
        <v>-25801.113172848454</v>
      </c>
      <c r="AL10" s="3">
        <f t="shared" si="36"/>
        <v>224721.69308940673</v>
      </c>
    </row>
    <row r="11" spans="1:38" x14ac:dyDescent="0.25">
      <c r="A11" s="13" t="s">
        <v>3</v>
      </c>
      <c r="B11" s="16">
        <f>+Compare!$C33</f>
        <v>6.5000000000000002E-2</v>
      </c>
      <c r="D11" s="17" t="s">
        <v>13</v>
      </c>
      <c r="E11" s="1">
        <f t="shared" si="25"/>
        <v>727545.6786617334</v>
      </c>
      <c r="F11" s="1">
        <f t="shared" si="26"/>
        <v>34836.177238159449</v>
      </c>
      <c r="G11" s="2">
        <f t="shared" si="0"/>
        <v>4.7881773282246728E-2</v>
      </c>
      <c r="H11" s="15">
        <f t="shared" si="10"/>
        <v>0</v>
      </c>
      <c r="I11" s="1">
        <f t="shared" si="11"/>
        <v>10225.426585723917</v>
      </c>
      <c r="J11" s="3">
        <f t="shared" si="27"/>
        <v>400000</v>
      </c>
      <c r="K11" s="1">
        <f t="shared" si="1"/>
        <v>26000</v>
      </c>
      <c r="L11" s="3">
        <f t="shared" si="2"/>
        <v>182036.54292938672</v>
      </c>
      <c r="M11" s="3">
        <f t="shared" si="12"/>
        <v>-875.22708896561358</v>
      </c>
      <c r="N11" s="3">
        <f t="shared" si="28"/>
        <v>-28301.810391703522</v>
      </c>
      <c r="O11" s="1">
        <f t="shared" si="13"/>
        <v>-1783.0140546773221</v>
      </c>
      <c r="P11" s="1">
        <f t="shared" si="3"/>
        <v>174243.8682700299</v>
      </c>
      <c r="X11" t="s">
        <v>13</v>
      </c>
      <c r="Y11" s="3">
        <f t="shared" si="29"/>
        <v>-875.22708896561358</v>
      </c>
      <c r="Z11">
        <f t="shared" si="5"/>
        <v>27868.941790527562</v>
      </c>
      <c r="AA11" s="3">
        <f t="shared" si="30"/>
        <v>10225.426585723917</v>
      </c>
      <c r="AB11">
        <f t="shared" si="6"/>
        <v>38000</v>
      </c>
      <c r="AC11" s="9">
        <f t="shared" si="7"/>
        <v>-41937.439721427574</v>
      </c>
      <c r="AD11">
        <f t="shared" si="8"/>
        <v>-8988.7520711508532</v>
      </c>
      <c r="AE11">
        <f t="shared" si="31"/>
        <v>-197752.54556531878</v>
      </c>
      <c r="AG11" s="3">
        <f t="shared" si="9"/>
        <v>727545.6786617334</v>
      </c>
      <c r="AH11">
        <f t="shared" si="32"/>
        <v>51197.777698890015</v>
      </c>
      <c r="AI11" s="3">
        <f t="shared" si="33"/>
        <v>400000</v>
      </c>
      <c r="AJ11" s="3">
        <f t="shared" si="34"/>
        <v>276347.90096284333</v>
      </c>
      <c r="AK11" s="3">
        <f t="shared" si="35"/>
        <v>-28301.810391703522</v>
      </c>
      <c r="AL11" s="3">
        <f t="shared" si="36"/>
        <v>248046.09057113979</v>
      </c>
    </row>
    <row r="12" spans="1:38" x14ac:dyDescent="0.25">
      <c r="A12" s="13" t="s">
        <v>2</v>
      </c>
      <c r="B12" s="16">
        <f>+Compare!$C34</f>
        <v>0.37</v>
      </c>
      <c r="D12" s="17" t="s">
        <v>14</v>
      </c>
      <c r="E12" s="1">
        <f t="shared" si="25"/>
        <v>762467.87123749661</v>
      </c>
      <c r="F12" s="1">
        <f t="shared" si="26"/>
        <v>35881.262555304231</v>
      </c>
      <c r="G12" s="2">
        <f t="shared" si="0"/>
        <v>4.7059376412895156E-2</v>
      </c>
      <c r="H12" s="15">
        <f t="shared" si="10"/>
        <v>0</v>
      </c>
      <c r="I12" s="1">
        <f t="shared" si="11"/>
        <v>10382.189383295634</v>
      </c>
      <c r="J12" s="3">
        <f t="shared" si="27"/>
        <v>400000</v>
      </c>
      <c r="K12" s="1">
        <f t="shared" si="1"/>
        <v>26000</v>
      </c>
      <c r="L12" s="3">
        <f t="shared" si="2"/>
        <v>209974.29698999727</v>
      </c>
      <c r="M12" s="3">
        <f t="shared" si="12"/>
        <v>-315.58390163458398</v>
      </c>
      <c r="N12" s="3">
        <f t="shared" si="28"/>
        <v>-30400.40834801543</v>
      </c>
      <c r="O12" s="1">
        <f t="shared" si="13"/>
        <v>-1915.225725924972</v>
      </c>
      <c r="P12" s="1">
        <f t="shared" si="3"/>
        <v>207067.46288948122</v>
      </c>
      <c r="X12" t="s">
        <v>14</v>
      </c>
      <c r="Y12" s="3">
        <f t="shared" si="29"/>
        <v>-315.58390163458398</v>
      </c>
      <c r="Z12">
        <f t="shared" si="5"/>
        <v>28705.010044243387</v>
      </c>
      <c r="AA12" s="3">
        <f t="shared" si="30"/>
        <v>10382.189383295634</v>
      </c>
      <c r="AB12">
        <f t="shared" si="6"/>
        <v>38000</v>
      </c>
      <c r="AC12" s="9">
        <f t="shared" si="7"/>
        <v>-41937.439721427574</v>
      </c>
      <c r="AD12">
        <f t="shared" si="8"/>
        <v>-8737.409052377534</v>
      </c>
      <c r="AE12">
        <f t="shared" si="31"/>
        <v>-192222.99915230574</v>
      </c>
      <c r="AG12" s="3">
        <f t="shared" si="9"/>
        <v>762467.87123749661</v>
      </c>
      <c r="AH12">
        <f t="shared" si="32"/>
        <v>59055.271028436742</v>
      </c>
      <c r="AI12" s="3">
        <f t="shared" si="33"/>
        <v>400000</v>
      </c>
      <c r="AJ12" s="3">
        <f t="shared" si="34"/>
        <v>303412.60020905989</v>
      </c>
      <c r="AK12" s="3">
        <f t="shared" si="35"/>
        <v>-30400.40834801543</v>
      </c>
      <c r="AL12" s="3">
        <f t="shared" si="36"/>
        <v>273012.19186104444</v>
      </c>
    </row>
    <row r="13" spans="1:38" x14ac:dyDescent="0.25">
      <c r="A13" s="13" t="s">
        <v>42</v>
      </c>
      <c r="B13" s="16">
        <f>+Compare!$C35</f>
        <v>0.1</v>
      </c>
      <c r="D13" s="17" t="s">
        <v>15</v>
      </c>
      <c r="E13" s="1">
        <f t="shared" si="25"/>
        <v>799066.3290568965</v>
      </c>
      <c r="F13" s="1">
        <f t="shared" si="26"/>
        <v>36957.700431963356</v>
      </c>
      <c r="G13" s="2">
        <f t="shared" si="0"/>
        <v>4.6251104680612602E-2</v>
      </c>
      <c r="H13" s="15">
        <f t="shared" si="10"/>
        <v>0</v>
      </c>
      <c r="I13" s="1">
        <f t="shared" si="11"/>
        <v>10543.655064794504</v>
      </c>
      <c r="J13" s="3">
        <f t="shared" si="27"/>
        <v>400000</v>
      </c>
      <c r="K13" s="1">
        <f t="shared" si="1"/>
        <v>26000</v>
      </c>
      <c r="L13" s="3">
        <f t="shared" si="2"/>
        <v>239253.0632455172</v>
      </c>
      <c r="M13" s="3">
        <f t="shared" si="12"/>
        <v>260.84858131637674</v>
      </c>
      <c r="N13" s="3">
        <f t="shared" si="28"/>
        <v>-32054.785492624025</v>
      </c>
      <c r="O13" s="1">
        <f t="shared" si="13"/>
        <v>-2019.4514860353138</v>
      </c>
      <c r="P13" s="1">
        <f t="shared" si="3"/>
        <v>242011.54356427246</v>
      </c>
      <c r="X13" t="s">
        <v>15</v>
      </c>
      <c r="Y13" s="3">
        <f t="shared" si="29"/>
        <v>260.84858131637674</v>
      </c>
      <c r="Z13">
        <f t="shared" si="5"/>
        <v>29566.160345570686</v>
      </c>
      <c r="AA13" s="3">
        <f t="shared" si="30"/>
        <v>10543.655064794504</v>
      </c>
      <c r="AB13">
        <f t="shared" si="6"/>
        <v>38000</v>
      </c>
      <c r="AC13" s="9">
        <f t="shared" si="7"/>
        <v>-41937.439721427574</v>
      </c>
      <c r="AD13">
        <f t="shared" si="8"/>
        <v>-8478.5257430410147</v>
      </c>
      <c r="AE13">
        <f t="shared" si="31"/>
        <v>-186527.56634690231</v>
      </c>
      <c r="AG13" s="3">
        <f t="shared" si="9"/>
        <v>799066.3290568965</v>
      </c>
      <c r="AH13">
        <f t="shared" si="32"/>
        <v>67289.924037801713</v>
      </c>
      <c r="AI13" s="3">
        <f t="shared" si="33"/>
        <v>400000</v>
      </c>
      <c r="AJ13" s="3">
        <f t="shared" si="34"/>
        <v>331776.40501909482</v>
      </c>
      <c r="AK13" s="3">
        <f t="shared" si="35"/>
        <v>-32054.785492624025</v>
      </c>
      <c r="AL13" s="3">
        <f t="shared" si="36"/>
        <v>299721.61952647078</v>
      </c>
    </row>
    <row r="14" spans="1:38" x14ac:dyDescent="0.25">
      <c r="B14" s="1"/>
      <c r="D14" s="17" t="s">
        <v>16</v>
      </c>
      <c r="E14" s="1">
        <f t="shared" si="25"/>
        <v>837421.51285162754</v>
      </c>
      <c r="F14" s="1">
        <f t="shared" si="26"/>
        <v>38066.431444922258</v>
      </c>
      <c r="G14" s="2">
        <f t="shared" si="0"/>
        <v>4.5456715478082999E-2</v>
      </c>
      <c r="H14" s="15">
        <f t="shared" si="10"/>
        <v>0</v>
      </c>
      <c r="I14" s="1">
        <f t="shared" si="11"/>
        <v>10709.964716738337</v>
      </c>
      <c r="J14" s="3">
        <f t="shared" si="27"/>
        <v>400000</v>
      </c>
      <c r="K14" s="1">
        <f t="shared" si="1"/>
        <v>26000</v>
      </c>
      <c r="L14" s="3">
        <f t="shared" si="2"/>
        <v>269937.2102813021</v>
      </c>
      <c r="M14" s="3">
        <f t="shared" si="12"/>
        <v>854.57403875587033</v>
      </c>
      <c r="N14" s="3">
        <f t="shared" si="28"/>
        <v>-33219.662939903472</v>
      </c>
      <c r="O14" s="1">
        <f t="shared" si="13"/>
        <v>-2092.838765213919</v>
      </c>
      <c r="P14" s="1">
        <f t="shared" si="3"/>
        <v>279201.8499117241</v>
      </c>
      <c r="X14" t="s">
        <v>16</v>
      </c>
      <c r="Y14" s="3">
        <f t="shared" si="29"/>
        <v>854.57403875587033</v>
      </c>
      <c r="Z14">
        <f t="shared" si="5"/>
        <v>30453.145155937807</v>
      </c>
      <c r="AA14" s="3">
        <f t="shared" si="30"/>
        <v>10709.964716738337</v>
      </c>
      <c r="AB14">
        <f t="shared" si="6"/>
        <v>38000</v>
      </c>
      <c r="AC14" s="9">
        <f t="shared" si="7"/>
        <v>-41937.439721427574</v>
      </c>
      <c r="AD14">
        <f t="shared" si="8"/>
        <v>-8211.875934424399</v>
      </c>
      <c r="AE14">
        <f t="shared" si="31"/>
        <v>-180661.27055733677</v>
      </c>
      <c r="AG14" s="3">
        <f t="shared" si="9"/>
        <v>837421.51285162754</v>
      </c>
      <c r="AH14">
        <f t="shared" si="32"/>
        <v>75919.840391616206</v>
      </c>
      <c r="AI14" s="3">
        <f t="shared" si="33"/>
        <v>400000</v>
      </c>
      <c r="AJ14" s="3">
        <f t="shared" si="34"/>
        <v>361501.67246001132</v>
      </c>
      <c r="AK14" s="3">
        <f t="shared" si="35"/>
        <v>-33219.662939903472</v>
      </c>
      <c r="AL14" s="3">
        <f t="shared" si="36"/>
        <v>328282.00952010788</v>
      </c>
    </row>
    <row r="15" spans="1:38" x14ac:dyDescent="0.25">
      <c r="D15" s="17" t="s">
        <v>17</v>
      </c>
      <c r="E15" s="1">
        <f t="shared" si="25"/>
        <v>877617.74546850566</v>
      </c>
      <c r="F15" s="1">
        <f t="shared" si="26"/>
        <v>39208.42438826993</v>
      </c>
      <c r="G15" s="2">
        <f t="shared" si="0"/>
        <v>4.467597036490982E-2</v>
      </c>
      <c r="H15" s="15">
        <f t="shared" si="10"/>
        <v>0</v>
      </c>
      <c r="I15" s="1">
        <f t="shared" si="11"/>
        <v>10881.263658240488</v>
      </c>
      <c r="J15" s="3">
        <f t="shared" si="27"/>
        <v>400000</v>
      </c>
      <c r="K15" s="1">
        <f t="shared" si="1"/>
        <v>26000</v>
      </c>
      <c r="L15" s="3">
        <f t="shared" si="2"/>
        <v>302094.1963748046</v>
      </c>
      <c r="M15" s="3">
        <f t="shared" si="12"/>
        <v>1466.1112599185483</v>
      </c>
      <c r="N15" s="3">
        <f t="shared" si="28"/>
        <v>-33846.390445198842</v>
      </c>
      <c r="O15" s="1">
        <f t="shared" si="13"/>
        <v>-2132.3225980475272</v>
      </c>
      <c r="P15" s="1">
        <f t="shared" si="3"/>
        <v>318771.35502330679</v>
      </c>
      <c r="X15" t="s">
        <v>17</v>
      </c>
      <c r="Y15" s="3">
        <f t="shared" si="29"/>
        <v>1466.1112599185483</v>
      </c>
      <c r="Z15">
        <f t="shared" si="5"/>
        <v>31366.739510615946</v>
      </c>
      <c r="AA15" s="3">
        <f t="shared" si="30"/>
        <v>10881.263658240488</v>
      </c>
      <c r="AB15">
        <f t="shared" si="6"/>
        <v>38000</v>
      </c>
      <c r="AC15" s="9">
        <f t="shared" si="7"/>
        <v>-41937.439721427574</v>
      </c>
      <c r="AD15">
        <f t="shared" si="8"/>
        <v>-7937.2266315492834</v>
      </c>
      <c r="AE15">
        <f t="shared" si="31"/>
        <v>-174618.98589408424</v>
      </c>
      <c r="AG15" s="3">
        <f t="shared" si="9"/>
        <v>877617.74546850566</v>
      </c>
      <c r="AH15">
        <f t="shared" si="32"/>
        <v>84963.992730413782</v>
      </c>
      <c r="AI15" s="3">
        <f t="shared" si="33"/>
        <v>400000</v>
      </c>
      <c r="AJ15" s="3">
        <f t="shared" si="34"/>
        <v>392653.75273809186</v>
      </c>
      <c r="AK15" s="3">
        <f t="shared" si="35"/>
        <v>-33846.390445198842</v>
      </c>
      <c r="AL15" s="3">
        <f t="shared" si="36"/>
        <v>358807.362292893</v>
      </c>
    </row>
    <row r="16" spans="1:38" x14ac:dyDescent="0.25">
      <c r="D16" s="17" t="s">
        <v>18</v>
      </c>
      <c r="E16" s="1">
        <f t="shared" si="25"/>
        <v>919743.39725099399</v>
      </c>
      <c r="F16" s="1">
        <f t="shared" si="26"/>
        <v>40384.677119918029</v>
      </c>
      <c r="G16" s="2">
        <f t="shared" si="0"/>
        <v>4.3908634996046865E-2</v>
      </c>
      <c r="H16" s="15">
        <f t="shared" si="10"/>
        <v>0</v>
      </c>
      <c r="I16" s="1">
        <f t="shared" si="11"/>
        <v>11057.701567987704</v>
      </c>
      <c r="J16" s="3">
        <f t="shared" si="27"/>
        <v>400000</v>
      </c>
      <c r="K16" s="1">
        <f t="shared" si="1"/>
        <v>26000</v>
      </c>
      <c r="L16" s="3">
        <f t="shared" si="2"/>
        <v>335794.71780079522</v>
      </c>
      <c r="M16" s="3">
        <f t="shared" si="12"/>
        <v>2095.9945977161051</v>
      </c>
      <c r="N16" s="3">
        <f t="shared" si="28"/>
        <v>-33882.718445530263</v>
      </c>
      <c r="O16" s="1">
        <f t="shared" si="13"/>
        <v>-2134.6112620684066</v>
      </c>
      <c r="P16" s="1">
        <f t="shared" si="3"/>
        <v>360860.67880546371</v>
      </c>
      <c r="X16" t="s">
        <v>18</v>
      </c>
      <c r="Y16" s="3">
        <f t="shared" si="29"/>
        <v>2095.9945977161051</v>
      </c>
      <c r="Z16">
        <f t="shared" si="5"/>
        <v>32307.741695934426</v>
      </c>
      <c r="AA16" s="3">
        <f t="shared" si="30"/>
        <v>11057.701567987704</v>
      </c>
      <c r="AB16">
        <f t="shared" si="6"/>
        <v>38000</v>
      </c>
      <c r="AC16" s="9">
        <f t="shared" si="7"/>
        <v>-41937.439721427574</v>
      </c>
      <c r="AD16">
        <f t="shared" si="8"/>
        <v>-7654.3378495879151</v>
      </c>
      <c r="AE16">
        <f t="shared" si="31"/>
        <v>-168395.43269093413</v>
      </c>
      <c r="AG16" s="3">
        <f t="shared" si="9"/>
        <v>919743.39725099399</v>
      </c>
      <c r="AH16">
        <f t="shared" si="32"/>
        <v>94442.264381473651</v>
      </c>
      <c r="AI16" s="3">
        <f t="shared" si="33"/>
        <v>400000</v>
      </c>
      <c r="AJ16" s="3">
        <f t="shared" si="34"/>
        <v>425301.13286952034</v>
      </c>
      <c r="AK16" s="3">
        <f t="shared" si="35"/>
        <v>-33882.718445530263</v>
      </c>
      <c r="AL16" s="3">
        <f t="shared" si="36"/>
        <v>391418.41442399006</v>
      </c>
    </row>
    <row r="17" spans="4:38" x14ac:dyDescent="0.25">
      <c r="D17" s="17" t="s">
        <v>19</v>
      </c>
      <c r="E17" s="1">
        <f t="shared" si="25"/>
        <v>963891.08031904174</v>
      </c>
      <c r="F17" s="1">
        <f t="shared" si="26"/>
        <v>41596.217433515572</v>
      </c>
      <c r="G17" s="2">
        <f t="shared" si="0"/>
        <v>4.3154479051458278E-2</v>
      </c>
      <c r="H17" s="15">
        <f t="shared" si="10"/>
        <v>0</v>
      </c>
      <c r="I17" s="1">
        <f t="shared" si="11"/>
        <v>11239.432615027335</v>
      </c>
      <c r="J17" s="3">
        <f t="shared" si="27"/>
        <v>400000</v>
      </c>
      <c r="K17" s="1">
        <f t="shared" si="1"/>
        <v>26000</v>
      </c>
      <c r="L17" s="3">
        <f t="shared" si="2"/>
        <v>371112.86425523343</v>
      </c>
      <c r="M17" s="3">
        <f t="shared" si="12"/>
        <v>2744.7744356475905</v>
      </c>
      <c r="N17" s="3">
        <f t="shared" si="28"/>
        <v>-33272.555271951082</v>
      </c>
      <c r="O17" s="1">
        <f t="shared" si="13"/>
        <v>-2096.1709821329182</v>
      </c>
      <c r="P17" s="1">
        <f t="shared" si="3"/>
        <v>405618.5250470906</v>
      </c>
      <c r="X17" t="s">
        <v>19</v>
      </c>
      <c r="Y17" s="3">
        <f t="shared" si="29"/>
        <v>2744.7744356475905</v>
      </c>
      <c r="Z17">
        <f t="shared" si="5"/>
        <v>33276.973946812461</v>
      </c>
      <c r="AA17" s="3">
        <f t="shared" si="30"/>
        <v>11239.432615027335</v>
      </c>
      <c r="AB17">
        <f t="shared" si="6"/>
        <v>38000</v>
      </c>
      <c r="AC17" s="9">
        <f t="shared" si="7"/>
        <v>-41937.439721427574</v>
      </c>
      <c r="AD17">
        <f t="shared" si="8"/>
        <v>-7362.9624041677052</v>
      </c>
      <c r="AE17">
        <f t="shared" si="31"/>
        <v>-161985.17289168952</v>
      </c>
      <c r="AG17" s="3">
        <f t="shared" si="9"/>
        <v>963891.08031904174</v>
      </c>
      <c r="AH17">
        <f t="shared" si="32"/>
        <v>104375.4930717844</v>
      </c>
      <c r="AI17" s="3">
        <f t="shared" si="33"/>
        <v>400000</v>
      </c>
      <c r="AJ17" s="3">
        <f t="shared" si="34"/>
        <v>459515.58724725735</v>
      </c>
      <c r="AK17" s="3">
        <f t="shared" si="35"/>
        <v>-33272.555271951082</v>
      </c>
      <c r="AL17" s="3">
        <f t="shared" si="36"/>
        <v>426243.03197530628</v>
      </c>
    </row>
    <row r="18" spans="4:38" x14ac:dyDescent="0.25">
      <c r="D18" s="17" t="s">
        <v>20</v>
      </c>
      <c r="E18" s="1">
        <f t="shared" si="25"/>
        <v>1010157.8521743558</v>
      </c>
      <c r="F18" s="1">
        <f t="shared" si="26"/>
        <v>42844.103956521038</v>
      </c>
      <c r="G18" s="2">
        <f t="shared" si="0"/>
        <v>4.241327616698666E-2</v>
      </c>
      <c r="H18" s="15">
        <f t="shared" si="10"/>
        <v>0</v>
      </c>
      <c r="I18" s="1">
        <f t="shared" si="11"/>
        <v>11426.615593478156</v>
      </c>
      <c r="J18" s="3">
        <f t="shared" si="27"/>
        <v>400000</v>
      </c>
      <c r="K18" s="1">
        <f t="shared" si="1"/>
        <v>26000</v>
      </c>
      <c r="L18" s="3">
        <f t="shared" si="2"/>
        <v>408126.28173948464</v>
      </c>
      <c r="M18" s="3">
        <f t="shared" si="12"/>
        <v>3413.0176687170151</v>
      </c>
      <c r="N18" s="3">
        <f t="shared" si="28"/>
        <v>-31955.708585366981</v>
      </c>
      <c r="O18" s="1">
        <f t="shared" si="13"/>
        <v>-2013.2096408781199</v>
      </c>
      <c r="P18" s="1">
        <f t="shared" si="3"/>
        <v>453202.14358898881</v>
      </c>
      <c r="X18" t="s">
        <v>20</v>
      </c>
      <c r="Y18" s="3">
        <f t="shared" si="29"/>
        <v>3413.0176687170151</v>
      </c>
      <c r="Z18">
        <f t="shared" si="5"/>
        <v>34275.283165216832</v>
      </c>
      <c r="AA18" s="3">
        <f t="shared" si="30"/>
        <v>11426.615593478156</v>
      </c>
      <c r="AB18">
        <f t="shared" si="6"/>
        <v>38000</v>
      </c>
      <c r="AC18" s="9">
        <f t="shared" si="7"/>
        <v>-41937.439721427574</v>
      </c>
      <c r="AD18">
        <f t="shared" si="8"/>
        <v>-7062.8456953848927</v>
      </c>
      <c r="AE18">
        <f t="shared" si="31"/>
        <v>-155382.60529846765</v>
      </c>
      <c r="AG18" s="3">
        <f t="shared" si="9"/>
        <v>1010157.8521743558</v>
      </c>
      <c r="AH18">
        <f t="shared" si="32"/>
        <v>114785.51673923005</v>
      </c>
      <c r="AI18" s="3">
        <f t="shared" si="33"/>
        <v>400000</v>
      </c>
      <c r="AJ18" s="3">
        <f t="shared" si="34"/>
        <v>495372.33543512574</v>
      </c>
      <c r="AK18" s="3">
        <f t="shared" si="35"/>
        <v>-31955.708585366981</v>
      </c>
      <c r="AL18" s="3">
        <f t="shared" si="36"/>
        <v>463416.62684975879</v>
      </c>
    </row>
    <row r="19" spans="4:38" x14ac:dyDescent="0.25">
      <c r="D19" s="17" t="s">
        <v>21</v>
      </c>
      <c r="E19" s="1">
        <f t="shared" si="25"/>
        <v>1058645.4290787249</v>
      </c>
      <c r="F19" s="1">
        <f t="shared" si="26"/>
        <v>44129.42707521667</v>
      </c>
      <c r="G19" s="2">
        <f t="shared" si="0"/>
        <v>4.1684803866408646E-2</v>
      </c>
      <c r="H19" s="15">
        <f t="shared" si="10"/>
        <v>0</v>
      </c>
      <c r="I19" s="1">
        <f t="shared" si="11"/>
        <v>11619.414061282499</v>
      </c>
      <c r="J19" s="3">
        <f t="shared" si="27"/>
        <v>400000</v>
      </c>
      <c r="K19" s="1">
        <f t="shared" si="1"/>
        <v>26000</v>
      </c>
      <c r="L19" s="3">
        <f t="shared" si="2"/>
        <v>446916.34326297999</v>
      </c>
      <c r="M19" s="3">
        <f t="shared" si="12"/>
        <v>4101.3081987785281</v>
      </c>
      <c r="N19" s="3">
        <f t="shared" si="28"/>
        <v>-29867.610027466573</v>
      </c>
      <c r="O19" s="1">
        <f t="shared" si="13"/>
        <v>-1881.6594317303943</v>
      </c>
      <c r="P19" s="1">
        <f t="shared" si="3"/>
        <v>503777.81905125838</v>
      </c>
      <c r="X19" t="s">
        <v>21</v>
      </c>
      <c r="Y19" s="3">
        <f t="shared" si="29"/>
        <v>4101.3081987785281</v>
      </c>
      <c r="Z19">
        <f t="shared" si="5"/>
        <v>35303.541660173338</v>
      </c>
      <c r="AA19" s="3">
        <f t="shared" si="30"/>
        <v>11619.414061282499</v>
      </c>
      <c r="AB19">
        <f t="shared" si="6"/>
        <v>38000</v>
      </c>
      <c r="AC19" s="9">
        <f t="shared" si="7"/>
        <v>-41937.439721427574</v>
      </c>
      <c r="AD19">
        <f t="shared" si="8"/>
        <v>-6753.7254853385921</v>
      </c>
      <c r="AE19">
        <f t="shared" si="31"/>
        <v>-148581.96067744904</v>
      </c>
      <c r="AG19" s="3">
        <f t="shared" si="9"/>
        <v>1058645.4290787249</v>
      </c>
      <c r="AH19">
        <f t="shared" si="32"/>
        <v>125695.22154271312</v>
      </c>
      <c r="AI19" s="3">
        <f t="shared" si="33"/>
        <v>400000</v>
      </c>
      <c r="AJ19" s="3">
        <f t="shared" si="34"/>
        <v>532950.20753601182</v>
      </c>
      <c r="AK19" s="3">
        <f t="shared" si="35"/>
        <v>-29867.610027466573</v>
      </c>
      <c r="AL19" s="3">
        <f t="shared" si="36"/>
        <v>503082.59750854527</v>
      </c>
    </row>
    <row r="20" spans="4:38" x14ac:dyDescent="0.25">
      <c r="D20" s="17" t="s">
        <v>22</v>
      </c>
      <c r="E20" s="1">
        <f t="shared" si="25"/>
        <v>1109460.4096745038</v>
      </c>
      <c r="F20" s="1">
        <f t="shared" si="26"/>
        <v>45453.309887473173</v>
      </c>
      <c r="G20" s="2">
        <f t="shared" si="0"/>
        <v>4.0968843494657348E-2</v>
      </c>
      <c r="H20" s="15">
        <f t="shared" si="10"/>
        <v>0</v>
      </c>
      <c r="I20" s="1">
        <f t="shared" si="11"/>
        <v>11817.996483120976</v>
      </c>
      <c r="J20" s="3">
        <f t="shared" si="27"/>
        <v>400000</v>
      </c>
      <c r="K20" s="1">
        <f t="shared" si="1"/>
        <v>26000</v>
      </c>
      <c r="L20" s="3">
        <f t="shared" si="2"/>
        <v>487568.32773960312</v>
      </c>
      <c r="M20" s="3">
        <f t="shared" si="12"/>
        <v>4810.2474447418863</v>
      </c>
      <c r="N20" s="3">
        <f t="shared" si="28"/>
        <v>-26939.02201445508</v>
      </c>
      <c r="O20" s="1">
        <f t="shared" si="13"/>
        <v>-1697.1583869106701</v>
      </c>
      <c r="P20" s="1">
        <f t="shared" si="3"/>
        <v>557521.38766004867</v>
      </c>
      <c r="X20" t="s">
        <v>22</v>
      </c>
      <c r="Y20" s="3">
        <f t="shared" si="29"/>
        <v>4810.2474447418863</v>
      </c>
      <c r="Z20">
        <f t="shared" si="5"/>
        <v>36362.647909978543</v>
      </c>
      <c r="AA20" s="3">
        <f t="shared" si="30"/>
        <v>11817.996483120976</v>
      </c>
      <c r="AB20">
        <f t="shared" si="6"/>
        <v>38000</v>
      </c>
      <c r="AC20" s="9">
        <f t="shared" si="7"/>
        <v>-41937.439721427574</v>
      </c>
      <c r="AD20">
        <f t="shared" si="8"/>
        <v>-6435.3316689909025</v>
      </c>
      <c r="AE20">
        <f t="shared" si="31"/>
        <v>-141577.29671779985</v>
      </c>
      <c r="AG20" s="3">
        <f t="shared" si="9"/>
        <v>1109460.4096745038</v>
      </c>
      <c r="AH20">
        <f t="shared" si="32"/>
        <v>137128.59217676337</v>
      </c>
      <c r="AI20" s="3">
        <f t="shared" si="33"/>
        <v>400000</v>
      </c>
      <c r="AJ20" s="3">
        <f t="shared" si="34"/>
        <v>572331.8174977405</v>
      </c>
      <c r="AK20" s="3">
        <f t="shared" si="35"/>
        <v>-26939.02201445508</v>
      </c>
      <c r="AL20" s="3">
        <f t="shared" si="36"/>
        <v>545392.79548328544</v>
      </c>
    </row>
    <row r="21" spans="4:38" x14ac:dyDescent="0.25">
      <c r="D21" s="17" t="s">
        <v>23</v>
      </c>
      <c r="E21" s="1">
        <f t="shared" si="25"/>
        <v>1162714.50933888</v>
      </c>
      <c r="F21" s="1">
        <f t="shared" si="26"/>
        <v>46816.909184097371</v>
      </c>
      <c r="G21" s="2">
        <f t="shared" si="0"/>
        <v>4.0265180152191861E-2</v>
      </c>
      <c r="H21" s="15">
        <f t="shared" si="10"/>
        <v>0</v>
      </c>
      <c r="I21" s="1">
        <f t="shared" si="11"/>
        <v>12022.536377614604</v>
      </c>
      <c r="J21" s="3">
        <f t="shared" si="27"/>
        <v>400000</v>
      </c>
      <c r="K21" s="1">
        <f t="shared" si="1"/>
        <v>26000</v>
      </c>
      <c r="L21" s="3">
        <f t="shared" si="2"/>
        <v>530171.60747110401</v>
      </c>
      <c r="M21" s="3">
        <f t="shared" si="12"/>
        <v>5540.4548680841426</v>
      </c>
      <c r="N21" s="3">
        <f t="shared" si="28"/>
        <v>-23095.725533281606</v>
      </c>
      <c r="O21" s="1">
        <f t="shared" si="13"/>
        <v>-1455.0307085967413</v>
      </c>
      <c r="P21" s="1">
        <f t="shared" si="3"/>
        <v>614618.78380559827</v>
      </c>
      <c r="X21" t="s">
        <v>23</v>
      </c>
      <c r="Y21" s="3">
        <f t="shared" si="29"/>
        <v>5540.4548680841426</v>
      </c>
      <c r="Z21">
        <f t="shared" si="5"/>
        <v>37453.527347277901</v>
      </c>
      <c r="AA21" s="3">
        <f t="shared" si="30"/>
        <v>12022.536377614604</v>
      </c>
      <c r="AB21">
        <f t="shared" si="6"/>
        <v>38000</v>
      </c>
      <c r="AC21" s="9">
        <f t="shared" si="7"/>
        <v>-41937.439721427574</v>
      </c>
      <c r="AD21">
        <f t="shared" si="8"/>
        <v>-6107.3860381527829</v>
      </c>
      <c r="AE21">
        <f t="shared" si="31"/>
        <v>-134362.49283936122</v>
      </c>
      <c r="AG21" s="3">
        <f t="shared" si="9"/>
        <v>1162714.50933888</v>
      </c>
      <c r="AH21">
        <f t="shared" si="32"/>
        <v>149110.764601248</v>
      </c>
      <c r="AI21" s="3">
        <f t="shared" si="33"/>
        <v>400000</v>
      </c>
      <c r="AJ21" s="3">
        <f t="shared" si="34"/>
        <v>613603.74473763199</v>
      </c>
      <c r="AK21" s="3">
        <f t="shared" si="35"/>
        <v>-23095.725533281606</v>
      </c>
      <c r="AL21" s="3">
        <f t="shared" si="36"/>
        <v>590508.01920435042</v>
      </c>
    </row>
    <row r="22" spans="4:38" x14ac:dyDescent="0.25">
      <c r="D22" s="17" t="s">
        <v>24</v>
      </c>
      <c r="E22" s="1">
        <f t="shared" si="25"/>
        <v>1218524.8057871463</v>
      </c>
      <c r="F22" s="1">
        <f t="shared" si="26"/>
        <v>48221.41645962029</v>
      </c>
      <c r="G22" s="2">
        <f t="shared" si="0"/>
        <v>3.9573602630493906E-2</v>
      </c>
      <c r="H22" s="15">
        <f t="shared" si="10"/>
        <v>0</v>
      </c>
      <c r="I22" s="1">
        <f t="shared" si="11"/>
        <v>12233.212468943042</v>
      </c>
      <c r="J22" s="3">
        <f t="shared" si="27"/>
        <v>400000</v>
      </c>
      <c r="K22" s="1">
        <f t="shared" si="1"/>
        <v>26000</v>
      </c>
      <c r="L22" s="3">
        <f t="shared" si="2"/>
        <v>574819.84462971706</v>
      </c>
      <c r="M22" s="3">
        <f t="shared" si="12"/>
        <v>6292.5685141266658</v>
      </c>
      <c r="N22" s="3">
        <f t="shared" si="28"/>
        <v>-18258.18772775168</v>
      </c>
      <c r="O22" s="1">
        <f t="shared" si="13"/>
        <v>-1150.2658268483558</v>
      </c>
      <c r="P22" s="1">
        <f t="shared" si="3"/>
        <v>675266.61805939465</v>
      </c>
      <c r="X22" t="s">
        <v>24</v>
      </c>
      <c r="Y22" s="3">
        <f t="shared" si="29"/>
        <v>6292.5685141266658</v>
      </c>
      <c r="Z22">
        <f t="shared" si="5"/>
        <v>38577.133167696236</v>
      </c>
      <c r="AA22" s="3">
        <f t="shared" si="30"/>
        <v>12233.212468943042</v>
      </c>
      <c r="AB22">
        <f t="shared" si="6"/>
        <v>38000</v>
      </c>
      <c r="AC22" s="9">
        <f t="shared" si="7"/>
        <v>-41937.439721427574</v>
      </c>
      <c r="AD22">
        <f t="shared" si="8"/>
        <v>-5769.6020383895202</v>
      </c>
      <c r="AE22">
        <f t="shared" si="31"/>
        <v>-126931.24484456945</v>
      </c>
      <c r="AG22" s="3">
        <f t="shared" si="9"/>
        <v>1218524.8057871463</v>
      </c>
      <c r="AH22">
        <f t="shared" si="32"/>
        <v>161668.08130210792</v>
      </c>
      <c r="AI22" s="3">
        <f t="shared" si="33"/>
        <v>400000</v>
      </c>
      <c r="AJ22" s="3">
        <f t="shared" si="34"/>
        <v>656856.72448503831</v>
      </c>
      <c r="AK22" s="3">
        <f t="shared" si="35"/>
        <v>-18258.18772775168</v>
      </c>
      <c r="AL22" s="3">
        <f t="shared" si="36"/>
        <v>638598.53675728664</v>
      </c>
    </row>
    <row r="23" spans="4:38" x14ac:dyDescent="0.25">
      <c r="D23" s="17" t="s">
        <v>25</v>
      </c>
      <c r="E23" s="1">
        <f t="shared" si="25"/>
        <v>1277013.9964649293</v>
      </c>
      <c r="F23" s="1">
        <f t="shared" si="26"/>
        <v>49668.058953408901</v>
      </c>
      <c r="G23" s="2">
        <f t="shared" si="0"/>
        <v>3.8893903348672453E-2</v>
      </c>
      <c r="H23" s="15">
        <f t="shared" si="10"/>
        <v>0</v>
      </c>
      <c r="I23" s="1">
        <f t="shared" si="11"/>
        <v>12450.208843011334</v>
      </c>
      <c r="J23" s="3">
        <f t="shared" si="27"/>
        <v>400000</v>
      </c>
      <c r="K23" s="1">
        <f t="shared" si="1"/>
        <v>26000</v>
      </c>
      <c r="L23" s="3">
        <f t="shared" si="2"/>
        <v>621611.1971719435</v>
      </c>
      <c r="M23" s="3">
        <f t="shared" si="12"/>
        <v>7067.2455695504659</v>
      </c>
      <c r="N23" s="3">
        <f t="shared" si="28"/>
        <v>-12341.20798504957</v>
      </c>
      <c r="O23" s="1">
        <f t="shared" si="13"/>
        <v>-777.49610305812291</v>
      </c>
      <c r="P23" s="1">
        <f t="shared" si="3"/>
        <v>739672.78847987973</v>
      </c>
      <c r="X23" t="s">
        <v>25</v>
      </c>
      <c r="Y23" s="3">
        <f t="shared" si="29"/>
        <v>7067.2455695504659</v>
      </c>
      <c r="Z23">
        <f t="shared" si="5"/>
        <v>39734.447162727127</v>
      </c>
      <c r="AA23" s="3">
        <f t="shared" si="30"/>
        <v>12450.208843011334</v>
      </c>
      <c r="AB23">
        <f t="shared" si="6"/>
        <v>38000</v>
      </c>
      <c r="AC23" s="9">
        <f t="shared" si="7"/>
        <v>-41937.439721427574</v>
      </c>
      <c r="AD23">
        <f t="shared" si="8"/>
        <v>-5421.6845186333594</v>
      </c>
      <c r="AE23">
        <f t="shared" si="31"/>
        <v>-119277.05940993391</v>
      </c>
      <c r="AG23" s="3">
        <f t="shared" si="9"/>
        <v>1277013.9964649293</v>
      </c>
      <c r="AH23">
        <f t="shared" si="32"/>
        <v>174828.1492046091</v>
      </c>
      <c r="AI23" s="3">
        <f t="shared" si="33"/>
        <v>400000</v>
      </c>
      <c r="AJ23" s="3">
        <f t="shared" si="34"/>
        <v>702185.84726032009</v>
      </c>
      <c r="AK23" s="3">
        <f t="shared" si="35"/>
        <v>-12341.20798504957</v>
      </c>
      <c r="AL23" s="3">
        <f t="shared" si="36"/>
        <v>689844.63927527051</v>
      </c>
    </row>
    <row r="24" spans="4:38" x14ac:dyDescent="0.25">
      <c r="D24" s="17" t="s">
        <v>26</v>
      </c>
      <c r="E24" s="1">
        <f t="shared" si="25"/>
        <v>1338310.6682952461</v>
      </c>
      <c r="F24" s="1">
        <f t="shared" si="26"/>
        <v>51158.100722011171</v>
      </c>
      <c r="G24" s="2">
        <f t="shared" si="0"/>
        <v>3.8225878291157082E-2</v>
      </c>
      <c r="H24" s="15">
        <f t="shared" si="10"/>
        <v>0</v>
      </c>
      <c r="I24" s="1">
        <f t="shared" si="11"/>
        <v>12673.715108301676</v>
      </c>
      <c r="J24" s="3">
        <f t="shared" si="27"/>
        <v>400000</v>
      </c>
      <c r="K24" s="1">
        <f t="shared" si="1"/>
        <v>26000</v>
      </c>
      <c r="L24" s="3">
        <f t="shared" si="2"/>
        <v>670648.53463619691</v>
      </c>
      <c r="M24" s="3">
        <f t="shared" si="12"/>
        <v>7865.1629366369843</v>
      </c>
      <c r="N24" s="3">
        <f t="shared" si="28"/>
        <v>-5253.5411514707084</v>
      </c>
      <c r="O24" s="1">
        <f t="shared" si="13"/>
        <v>-330.97309254265463</v>
      </c>
      <c r="P24" s="1">
        <f t="shared" si="3"/>
        <v>808057.12714377535</v>
      </c>
      <c r="X24" t="s">
        <v>26</v>
      </c>
      <c r="Y24" s="3">
        <f t="shared" si="29"/>
        <v>7865.1629366369843</v>
      </c>
      <c r="Z24">
        <f t="shared" si="5"/>
        <v>40926.480577608942</v>
      </c>
      <c r="AA24" s="3">
        <f t="shared" si="30"/>
        <v>12673.715108301676</v>
      </c>
      <c r="AB24">
        <f t="shared" si="6"/>
        <v>38000</v>
      </c>
      <c r="AC24" s="9">
        <f t="shared" si="7"/>
        <v>-41937.439721427574</v>
      </c>
      <c r="AD24">
        <f t="shared" si="8"/>
        <v>-5063.3294732845143</v>
      </c>
      <c r="AE24">
        <f t="shared" si="31"/>
        <v>-111393.24841225932</v>
      </c>
      <c r="AG24" s="3">
        <f t="shared" si="9"/>
        <v>1338310.6682952461</v>
      </c>
      <c r="AH24">
        <f t="shared" si="32"/>
        <v>188619.90036643037</v>
      </c>
      <c r="AI24" s="3">
        <f t="shared" si="33"/>
        <v>400000</v>
      </c>
      <c r="AJ24" s="3">
        <f t="shared" si="34"/>
        <v>749690.76792881568</v>
      </c>
      <c r="AK24" s="3">
        <f t="shared" si="35"/>
        <v>-5253.5411514707084</v>
      </c>
      <c r="AL24" s="3">
        <f t="shared" si="36"/>
        <v>744437.22677734494</v>
      </c>
    </row>
    <row r="25" spans="4:38" x14ac:dyDescent="0.25">
      <c r="D25" s="17" t="s">
        <v>27</v>
      </c>
      <c r="E25" s="1">
        <f t="shared" si="25"/>
        <v>1402549.5803734181</v>
      </c>
      <c r="F25" s="1">
        <f t="shared" si="26"/>
        <v>52692.84374367151</v>
      </c>
      <c r="G25" s="2">
        <f t="shared" si="0"/>
        <v>3.7569326946461631E-2</v>
      </c>
      <c r="H25" s="15">
        <f t="shared" si="10"/>
        <v>0</v>
      </c>
      <c r="I25" s="1">
        <f t="shared" si="11"/>
        <v>12903.926561550727</v>
      </c>
      <c r="J25" s="3">
        <f t="shared" si="27"/>
        <v>400000</v>
      </c>
      <c r="K25" s="1">
        <f t="shared" si="1"/>
        <v>26000</v>
      </c>
      <c r="L25" s="3">
        <f t="shared" si="2"/>
        <v>722039.66429873439</v>
      </c>
      <c r="M25" s="3">
        <f t="shared" si="12"/>
        <v>8687.0178247360946</v>
      </c>
      <c r="N25" s="3">
        <f t="shared" si="28"/>
        <v>3102.5035807227314</v>
      </c>
      <c r="O25" s="1">
        <f t="shared" si="13"/>
        <v>195.4577255855321</v>
      </c>
      <c r="P25" s="1">
        <f t="shared" si="3"/>
        <v>880652.08395414078</v>
      </c>
      <c r="X25" t="s">
        <v>27</v>
      </c>
      <c r="Y25" s="3">
        <f t="shared" si="29"/>
        <v>8687.0178247360946</v>
      </c>
      <c r="Z25">
        <f t="shared" si="5"/>
        <v>42154.274994937208</v>
      </c>
      <c r="AA25" s="3">
        <f t="shared" si="30"/>
        <v>12903.926561550727</v>
      </c>
      <c r="AB25">
        <f t="shared" si="6"/>
        <v>38000</v>
      </c>
      <c r="AC25" s="9">
        <f t="shared" si="7"/>
        <v>-41937.439721427574</v>
      </c>
      <c r="AD25">
        <f t="shared" si="8"/>
        <v>-4694.2237765752034</v>
      </c>
      <c r="AE25">
        <f t="shared" si="31"/>
        <v>-103272.92308465447</v>
      </c>
      <c r="AG25" s="3">
        <f t="shared" si="9"/>
        <v>1402549.5803734181</v>
      </c>
      <c r="AH25">
        <f t="shared" si="32"/>
        <v>203073.65558401906</v>
      </c>
      <c r="AI25" s="3">
        <f t="shared" si="33"/>
        <v>400000</v>
      </c>
      <c r="AJ25" s="3">
        <f t="shared" si="34"/>
        <v>799475.92478939891</v>
      </c>
      <c r="AK25" s="3">
        <f t="shared" si="35"/>
        <v>3102.5035807227314</v>
      </c>
      <c r="AL25" s="3">
        <f t="shared" si="36"/>
        <v>802578.42837012163</v>
      </c>
    </row>
    <row r="26" spans="4:38" x14ac:dyDescent="0.25">
      <c r="D26" s="17" t="s">
        <v>28</v>
      </c>
      <c r="E26" s="1">
        <f t="shared" si="25"/>
        <v>1469871.9602313421</v>
      </c>
      <c r="F26" s="1">
        <f t="shared" si="26"/>
        <v>54273.629055981655</v>
      </c>
      <c r="G26" s="2">
        <f t="shared" si="0"/>
        <v>3.6924052246999503E-2</v>
      </c>
      <c r="H26" s="15">
        <f t="shared" si="10"/>
        <v>0</v>
      </c>
      <c r="I26" s="1">
        <f t="shared" si="11"/>
        <v>13141.044358397248</v>
      </c>
      <c r="J26" s="3">
        <f t="shared" si="27"/>
        <v>400000</v>
      </c>
      <c r="K26" s="1">
        <f t="shared" si="1"/>
        <v>26000</v>
      </c>
      <c r="L26" s="3">
        <f t="shared" si="2"/>
        <v>775897.56818507379</v>
      </c>
      <c r="M26" s="3">
        <f t="shared" si="12"/>
        <v>9533.528359478174</v>
      </c>
      <c r="N26" s="3">
        <f t="shared" si="28"/>
        <v>12831.489665786437</v>
      </c>
      <c r="O26" s="1">
        <f t="shared" si="13"/>
        <v>808.38384894454566</v>
      </c>
      <c r="P26" s="1">
        <f t="shared" si="3"/>
        <v>957703.44989712862</v>
      </c>
      <c r="X26" t="s">
        <v>28</v>
      </c>
      <c r="Y26" s="3">
        <f t="shared" si="29"/>
        <v>9533.528359478174</v>
      </c>
      <c r="Z26">
        <f t="shared" si="5"/>
        <v>43418.903244785324</v>
      </c>
      <c r="AA26" s="3">
        <f t="shared" si="30"/>
        <v>13141.044358397248</v>
      </c>
      <c r="AB26">
        <f t="shared" si="6"/>
        <v>38000</v>
      </c>
      <c r="AC26" s="9">
        <f t="shared" si="7"/>
        <v>-41937.439721427574</v>
      </c>
      <c r="AD26">
        <f t="shared" si="8"/>
        <v>-4314.0449089646145</v>
      </c>
      <c r="AE26">
        <f t="shared" si="31"/>
        <v>-94908.987997221513</v>
      </c>
      <c r="AG26" s="3">
        <f t="shared" si="9"/>
        <v>1469871.9602313421</v>
      </c>
      <c r="AH26">
        <f t="shared" si="32"/>
        <v>218221.19105205199</v>
      </c>
      <c r="AI26" s="3">
        <f t="shared" si="33"/>
        <v>400000</v>
      </c>
      <c r="AJ26" s="3">
        <f t="shared" si="34"/>
        <v>851650.76917929016</v>
      </c>
      <c r="AK26" s="3">
        <f t="shared" si="35"/>
        <v>12831.489665786437</v>
      </c>
      <c r="AL26" s="3">
        <f t="shared" si="36"/>
        <v>864482.25884507655</v>
      </c>
    </row>
    <row r="27" spans="4:38" x14ac:dyDescent="0.25">
      <c r="D27" s="17" t="s">
        <v>29</v>
      </c>
      <c r="E27" s="1">
        <f t="shared" si="25"/>
        <v>1540425.8143224467</v>
      </c>
      <c r="F27" s="1">
        <f t="shared" si="26"/>
        <v>55901.837927661109</v>
      </c>
      <c r="G27" s="2">
        <f t="shared" si="0"/>
        <v>3.6289860509932721E-2</v>
      </c>
      <c r="H27" s="15">
        <f t="shared" si="10"/>
        <v>0</v>
      </c>
      <c r="I27" s="1">
        <f t="shared" si="11"/>
        <v>13385.275689149166</v>
      </c>
      <c r="J27" s="3">
        <f t="shared" si="27"/>
        <v>400000</v>
      </c>
      <c r="K27" s="1">
        <f t="shared" si="1"/>
        <v>26000</v>
      </c>
      <c r="L27" s="3">
        <f t="shared" si="2"/>
        <v>832340.65145795746</v>
      </c>
      <c r="M27" s="3">
        <f t="shared" si="12"/>
        <v>10405.434210262523</v>
      </c>
      <c r="N27" s="3">
        <f t="shared" si="28"/>
        <v>24045.307724993505</v>
      </c>
      <c r="O27" s="1">
        <f t="shared" si="13"/>
        <v>1514.8543866745908</v>
      </c>
      <c r="P27" s="1">
        <f t="shared" si="3"/>
        <v>1039471.1220474401</v>
      </c>
      <c r="X27" t="s">
        <v>29</v>
      </c>
      <c r="Y27" s="3">
        <f t="shared" si="29"/>
        <v>10405.434210262523</v>
      </c>
      <c r="Z27">
        <f t="shared" si="5"/>
        <v>44721.470342128887</v>
      </c>
      <c r="AA27" s="3">
        <f t="shared" si="30"/>
        <v>13385.275689149166</v>
      </c>
      <c r="AB27">
        <f t="shared" si="6"/>
        <v>38000</v>
      </c>
      <c r="AC27" s="9">
        <f t="shared" si="7"/>
        <v>-41937.439721427574</v>
      </c>
      <c r="AD27">
        <f t="shared" si="8"/>
        <v>-3922.4606753257058</v>
      </c>
      <c r="AE27">
        <f t="shared" si="31"/>
        <v>-86294.134857165525</v>
      </c>
      <c r="AG27" s="3">
        <f t="shared" si="9"/>
        <v>1540425.8143224467</v>
      </c>
      <c r="AH27">
        <f t="shared" si="32"/>
        <v>234095.80822255052</v>
      </c>
      <c r="AI27" s="3">
        <f t="shared" si="33"/>
        <v>400000</v>
      </c>
      <c r="AJ27" s="3">
        <f t="shared" si="34"/>
        <v>906330.00609989627</v>
      </c>
      <c r="AK27" s="3">
        <f t="shared" si="35"/>
        <v>24045.307724993505</v>
      </c>
      <c r="AL27" s="3">
        <f t="shared" si="36"/>
        <v>930375.31382488983</v>
      </c>
    </row>
    <row r="28" spans="4:38" x14ac:dyDescent="0.25">
      <c r="D28" s="17" t="s">
        <v>30</v>
      </c>
      <c r="E28" s="1">
        <f t="shared" si="25"/>
        <v>1614366.2534099242</v>
      </c>
      <c r="F28" s="1">
        <f t="shared" si="26"/>
        <v>57578.893065490942</v>
      </c>
      <c r="G28" s="2">
        <f t="shared" si="0"/>
        <v>3.5666561379036926E-2</v>
      </c>
      <c r="H28" s="15">
        <f t="shared" si="10"/>
        <v>0</v>
      </c>
      <c r="I28" s="1">
        <f t="shared" si="11"/>
        <v>13636.833959823642</v>
      </c>
      <c r="J28" s="3">
        <f t="shared" si="27"/>
        <v>400000</v>
      </c>
      <c r="K28" s="1">
        <f t="shared" si="1"/>
        <v>26000</v>
      </c>
      <c r="L28" s="3">
        <f t="shared" si="2"/>
        <v>891493.00272793951</v>
      </c>
      <c r="M28" s="3">
        <f t="shared" si="12"/>
        <v>11303.4972365704</v>
      </c>
      <c r="N28" s="3">
        <f t="shared" si="28"/>
        <v>36863.659348238492</v>
      </c>
      <c r="O28" s="1">
        <f t="shared" si="13"/>
        <v>2322.4105389390252</v>
      </c>
      <c r="P28" s="1">
        <f t="shared" si="3"/>
        <v>1126229.9127581627</v>
      </c>
      <c r="X28" t="s">
        <v>30</v>
      </c>
      <c r="Y28" s="3">
        <f t="shared" si="29"/>
        <v>11303.4972365704</v>
      </c>
      <c r="Z28">
        <f t="shared" si="5"/>
        <v>46063.114452392758</v>
      </c>
      <c r="AA28" s="3">
        <f t="shared" si="30"/>
        <v>13636.833959823642</v>
      </c>
      <c r="AB28">
        <f t="shared" si="6"/>
        <v>38000</v>
      </c>
      <c r="AC28" s="9">
        <f t="shared" si="7"/>
        <v>-41937.439721427574</v>
      </c>
      <c r="AD28">
        <f t="shared" si="8"/>
        <v>-3519.1289146776294</v>
      </c>
      <c r="AE28">
        <f t="shared" si="31"/>
        <v>-77420.836122907844</v>
      </c>
      <c r="AG28" s="3">
        <f t="shared" si="9"/>
        <v>1614366.2534099242</v>
      </c>
      <c r="AH28">
        <f t="shared" si="32"/>
        <v>250732.40701723297</v>
      </c>
      <c r="AI28" s="3">
        <f t="shared" si="33"/>
        <v>400000</v>
      </c>
      <c r="AJ28" s="3">
        <f t="shared" si="34"/>
        <v>963633.84639269114</v>
      </c>
      <c r="AK28" s="3">
        <f t="shared" si="35"/>
        <v>36863.659348238492</v>
      </c>
      <c r="AL28" s="3">
        <f t="shared" si="36"/>
        <v>1000497.5057409296</v>
      </c>
    </row>
    <row r="29" spans="4:38" x14ac:dyDescent="0.25">
      <c r="D29" s="17" t="s">
        <v>31</v>
      </c>
      <c r="E29" s="1">
        <f t="shared" si="25"/>
        <v>1691855.8335736007</v>
      </c>
      <c r="F29" s="1">
        <f t="shared" si="26"/>
        <v>59306.259857455669</v>
      </c>
      <c r="G29" s="2">
        <f t="shared" si="0"/>
        <v>3.5053967767564913E-2</v>
      </c>
      <c r="H29" s="15">
        <f t="shared" si="10"/>
        <v>0</v>
      </c>
      <c r="I29" s="1">
        <f t="shared" si="11"/>
        <v>13895.938978618349</v>
      </c>
      <c r="J29" s="3">
        <f t="shared" si="27"/>
        <v>400000</v>
      </c>
      <c r="K29" s="1">
        <f t="shared" si="1"/>
        <v>26000</v>
      </c>
      <c r="L29" s="3">
        <f t="shared" si="2"/>
        <v>953484.66685888078</v>
      </c>
      <c r="M29" s="3">
        <f t="shared" si="12"/>
        <v>12228.502153667509</v>
      </c>
      <c r="N29" s="3">
        <f t="shared" si="28"/>
        <v>51414.572040845022</v>
      </c>
      <c r="O29" s="1">
        <f t="shared" si="13"/>
        <v>3239.1180385732364</v>
      </c>
      <c r="P29" s="1">
        <f t="shared" si="3"/>
        <v>1218270.4056144457</v>
      </c>
      <c r="X29" t="s">
        <v>31</v>
      </c>
      <c r="Y29" s="3">
        <f t="shared" si="29"/>
        <v>12228.502153667509</v>
      </c>
      <c r="Z29">
        <f t="shared" si="5"/>
        <v>47445.007885964536</v>
      </c>
      <c r="AA29" s="3">
        <f t="shared" si="30"/>
        <v>13895.938978618349</v>
      </c>
      <c r="AB29">
        <f t="shared" si="6"/>
        <v>38000</v>
      </c>
      <c r="AC29" s="9">
        <f t="shared" si="7"/>
        <v>-41937.439721427574</v>
      </c>
      <c r="AD29">
        <f t="shared" si="8"/>
        <v>-3103.6972012101146</v>
      </c>
      <c r="AE29">
        <f t="shared" si="31"/>
        <v>-68281.338426622518</v>
      </c>
      <c r="AG29" s="3">
        <f t="shared" si="9"/>
        <v>1691855.8335736007</v>
      </c>
      <c r="AH29">
        <f t="shared" si="32"/>
        <v>268167.56255406019</v>
      </c>
      <c r="AI29" s="3">
        <f t="shared" si="33"/>
        <v>400000</v>
      </c>
      <c r="AJ29" s="3">
        <f t="shared" si="34"/>
        <v>1023688.2710195405</v>
      </c>
      <c r="AK29" s="3">
        <f t="shared" si="35"/>
        <v>51414.572040845022</v>
      </c>
      <c r="AL29" s="3">
        <f t="shared" si="36"/>
        <v>1075102.8430603854</v>
      </c>
    </row>
    <row r="30" spans="4:38" x14ac:dyDescent="0.25">
      <c r="D30" s="17" t="s">
        <v>32</v>
      </c>
      <c r="E30" s="1">
        <f t="shared" si="25"/>
        <v>1773064.9135851336</v>
      </c>
      <c r="F30" s="1">
        <f t="shared" si="26"/>
        <v>61085.447653179341</v>
      </c>
      <c r="G30" s="2">
        <f t="shared" si="0"/>
        <v>3.4451895802091473E-2</v>
      </c>
      <c r="H30" s="15">
        <f t="shared" si="10"/>
        <v>0</v>
      </c>
      <c r="I30" s="1">
        <f t="shared" si="11"/>
        <v>14162.817147976901</v>
      </c>
      <c r="J30" s="3">
        <f t="shared" si="27"/>
        <v>400000</v>
      </c>
      <c r="K30" s="1">
        <f t="shared" si="1"/>
        <v>26000</v>
      </c>
      <c r="L30" s="3">
        <f t="shared" si="2"/>
        <v>1018451.9308681069</v>
      </c>
      <c r="M30" s="3">
        <f t="shared" si="12"/>
        <v>13181.257218277537</v>
      </c>
      <c r="N30" s="3">
        <f t="shared" si="28"/>
        <v>67834.947297695791</v>
      </c>
      <c r="O30" s="1">
        <f t="shared" si="13"/>
        <v>4273.6016797548355</v>
      </c>
      <c r="P30" s="1">
        <f t="shared" si="3"/>
        <v>1315899.8608828294</v>
      </c>
      <c r="R30" s="8"/>
      <c r="S30" s="8"/>
      <c r="X30" t="s">
        <v>32</v>
      </c>
      <c r="Y30" s="3">
        <f t="shared" si="29"/>
        <v>13181.257218277537</v>
      </c>
      <c r="Z30">
        <f t="shared" si="5"/>
        <v>48868.358122543475</v>
      </c>
      <c r="AA30" s="3">
        <f t="shared" si="30"/>
        <v>14162.817147976901</v>
      </c>
      <c r="AB30">
        <f t="shared" si="6"/>
        <v>38000</v>
      </c>
      <c r="AC30" s="9">
        <f t="shared" si="7"/>
        <v>-41937.439721427574</v>
      </c>
      <c r="AD30">
        <f t="shared" si="8"/>
        <v>-2675.8025363385696</v>
      </c>
      <c r="AE30">
        <f t="shared" si="31"/>
        <v>-58867.655799448534</v>
      </c>
      <c r="AG30" s="3">
        <f t="shared" si="9"/>
        <v>1773064.9135851336</v>
      </c>
      <c r="AH30">
        <f t="shared" si="32"/>
        <v>286439.60555665509</v>
      </c>
      <c r="AI30" s="3">
        <f t="shared" si="33"/>
        <v>400000</v>
      </c>
      <c r="AJ30" s="3">
        <f t="shared" si="34"/>
        <v>1086625.3080284786</v>
      </c>
      <c r="AK30" s="3">
        <f t="shared" si="35"/>
        <v>67834.947297695791</v>
      </c>
      <c r="AL30" s="3">
        <f t="shared" si="36"/>
        <v>1154460.2553261744</v>
      </c>
    </row>
    <row r="31" spans="4:38" x14ac:dyDescent="0.25">
      <c r="D31" s="17" t="s">
        <v>33</v>
      </c>
      <c r="E31" s="1">
        <f t="shared" si="25"/>
        <v>1858172.0294372202</v>
      </c>
      <c r="F31" s="1">
        <f t="shared" si="26"/>
        <v>62918.011082774719</v>
      </c>
      <c r="G31" s="2">
        <f t="shared" si="0"/>
        <v>3.3860164767322717E-2</v>
      </c>
      <c r="H31" s="15">
        <f t="shared" si="10"/>
        <v>0</v>
      </c>
      <c r="I31" s="1">
        <f t="shared" si="11"/>
        <v>14437.701662416208</v>
      </c>
      <c r="J31" s="3">
        <f t="shared" si="27"/>
        <v>400000</v>
      </c>
      <c r="K31" s="1">
        <f t="shared" si="1"/>
        <v>26000</v>
      </c>
      <c r="L31" s="3">
        <f t="shared" si="2"/>
        <v>1086537.6235497762</v>
      </c>
      <c r="M31" s="3">
        <f t="shared" si="12"/>
        <v>14162.594934825864</v>
      </c>
      <c r="N31" s="3">
        <f t="shared" si="28"/>
        <v>86271.143912276486</v>
      </c>
      <c r="O31" s="1">
        <f t="shared" si="13"/>
        <v>5435.0820664734192</v>
      </c>
      <c r="P31" s="1">
        <f t="shared" si="3"/>
        <v>1419443.1733494967</v>
      </c>
      <c r="S31" s="3"/>
      <c r="X31" t="s">
        <v>33</v>
      </c>
      <c r="Y31" s="3">
        <f t="shared" si="29"/>
        <v>14162.594934825864</v>
      </c>
      <c r="Z31">
        <f t="shared" si="5"/>
        <v>50334.408866219776</v>
      </c>
      <c r="AA31" s="3">
        <f t="shared" si="30"/>
        <v>14437.701662416208</v>
      </c>
      <c r="AB31">
        <f t="shared" si="6"/>
        <v>38000</v>
      </c>
      <c r="AC31" s="9">
        <f t="shared" si="7"/>
        <v>-41937.439721427574</v>
      </c>
      <c r="AD31">
        <f t="shared" si="8"/>
        <v>-2235.0710315208817</v>
      </c>
      <c r="AE31">
        <f t="shared" si="31"/>
        <v>-49171.562693459397</v>
      </c>
      <c r="AG31" s="3">
        <f t="shared" si="9"/>
        <v>1858172.0294372202</v>
      </c>
      <c r="AH31">
        <f t="shared" si="32"/>
        <v>305588.70662337454</v>
      </c>
      <c r="AI31" s="3">
        <f t="shared" si="33"/>
        <v>400000</v>
      </c>
      <c r="AJ31" s="3">
        <f t="shared" si="34"/>
        <v>1152583.3228138457</v>
      </c>
      <c r="AK31" s="3">
        <f t="shared" si="35"/>
        <v>86271.143912276486</v>
      </c>
      <c r="AL31" s="3">
        <f t="shared" si="36"/>
        <v>1238854.4667261222</v>
      </c>
    </row>
    <row r="32" spans="4:38" x14ac:dyDescent="0.25">
      <c r="D32" s="17" t="s">
        <v>34</v>
      </c>
      <c r="E32" s="1">
        <f t="shared" si="25"/>
        <v>1947364.2868502068</v>
      </c>
      <c r="F32" s="1">
        <f t="shared" si="26"/>
        <v>64805.551415257964</v>
      </c>
      <c r="G32" s="2">
        <f t="shared" si="0"/>
        <v>3.3278597051853438E-2</v>
      </c>
      <c r="H32" s="15">
        <f t="shared" si="10"/>
        <v>0</v>
      </c>
      <c r="I32" s="1">
        <f t="shared" si="11"/>
        <v>14720.832712288695</v>
      </c>
      <c r="J32" s="3">
        <f t="shared" si="27"/>
        <v>400000</v>
      </c>
      <c r="K32" s="1">
        <f t="shared" si="1"/>
        <v>26000</v>
      </c>
      <c r="L32" s="3">
        <f t="shared" si="2"/>
        <v>1157891.4294801655</v>
      </c>
      <c r="M32" s="3">
        <f t="shared" si="12"/>
        <v>15173.372782870641</v>
      </c>
      <c r="N32" s="3">
        <f t="shared" si="28"/>
        <v>106879.59876162055</v>
      </c>
      <c r="O32" s="1">
        <f t="shared" si="13"/>
        <v>6733.4147219820952</v>
      </c>
      <c r="P32" s="1">
        <f t="shared" si="3"/>
        <v>1529243.8856118273</v>
      </c>
      <c r="S32" s="1"/>
      <c r="X32" t="s">
        <v>34</v>
      </c>
      <c r="Y32" s="3">
        <f t="shared" si="29"/>
        <v>15173.372782870641</v>
      </c>
      <c r="Z32">
        <f t="shared" si="5"/>
        <v>51844.441132206375</v>
      </c>
      <c r="AA32" s="3">
        <f t="shared" si="30"/>
        <v>14720.832712288695</v>
      </c>
      <c r="AB32">
        <f t="shared" si="6"/>
        <v>38000</v>
      </c>
      <c r="AC32" s="9">
        <f t="shared" si="7"/>
        <v>-41937.439721427574</v>
      </c>
      <c r="AD32">
        <f t="shared" si="8"/>
        <v>-1781.1175815586594</v>
      </c>
      <c r="AE32">
        <f t="shared" si="31"/>
        <v>-39184.586794290502</v>
      </c>
      <c r="AG32" s="3">
        <f t="shared" si="9"/>
        <v>1947364.2868502068</v>
      </c>
      <c r="AH32">
        <f t="shared" si="32"/>
        <v>325656.96454129653</v>
      </c>
      <c r="AI32" s="3">
        <f t="shared" si="33"/>
        <v>400000</v>
      </c>
      <c r="AJ32" s="3">
        <f t="shared" si="34"/>
        <v>1221707.3223089103</v>
      </c>
      <c r="AK32" s="3">
        <f t="shared" si="35"/>
        <v>106879.59876162055</v>
      </c>
      <c r="AL32" s="3">
        <f t="shared" si="36"/>
        <v>1328586.9210705308</v>
      </c>
    </row>
    <row r="33" spans="4:38" x14ac:dyDescent="0.25">
      <c r="D33" s="17" t="s">
        <v>35</v>
      </c>
      <c r="E33" s="1">
        <f t="shared" si="25"/>
        <v>2040837.7726190167</v>
      </c>
      <c r="F33" s="1">
        <f t="shared" si="26"/>
        <v>66749.717957715708</v>
      </c>
      <c r="G33" s="2">
        <f t="shared" si="0"/>
        <v>3.2707018094855961E-2</v>
      </c>
      <c r="H33" s="15">
        <f t="shared" si="10"/>
        <v>0</v>
      </c>
      <c r="I33" s="1">
        <f t="shared" si="11"/>
        <v>15012.457693657356</v>
      </c>
      <c r="J33" s="3">
        <f t="shared" si="27"/>
        <v>400000</v>
      </c>
      <c r="K33" s="1">
        <f t="shared" si="1"/>
        <v>26000</v>
      </c>
      <c r="L33" s="3">
        <f t="shared" si="2"/>
        <v>1232670.2180952134</v>
      </c>
      <c r="M33" s="3">
        <f t="shared" si="12"/>
        <v>16214.47396635676</v>
      </c>
      <c r="N33" s="3">
        <f t="shared" si="28"/>
        <v>129827.48744995942</v>
      </c>
      <c r="O33" s="1">
        <f t="shared" si="13"/>
        <v>8179.1317093474436</v>
      </c>
      <c r="P33" s="1">
        <f t="shared" si="3"/>
        <v>1645665.2600689763</v>
      </c>
      <c r="S33" s="3"/>
      <c r="X33" t="s">
        <v>35</v>
      </c>
      <c r="Y33" s="3">
        <f t="shared" si="29"/>
        <v>16214.47396635676</v>
      </c>
      <c r="Z33">
        <f t="shared" si="5"/>
        <v>53399.774366172569</v>
      </c>
      <c r="AA33" s="3">
        <f t="shared" si="30"/>
        <v>15012.457693657356</v>
      </c>
      <c r="AB33">
        <f t="shared" si="6"/>
        <v>38000</v>
      </c>
      <c r="AC33" s="9">
        <f t="shared" si="7"/>
        <v>-41937.439721427574</v>
      </c>
      <c r="AD33">
        <f t="shared" si="8"/>
        <v>-1313.5455280975741</v>
      </c>
      <c r="AE33">
        <f t="shared" si="31"/>
        <v>-28898.001618146631</v>
      </c>
      <c r="AG33" s="3">
        <f t="shared" si="9"/>
        <v>2040837.7726190167</v>
      </c>
      <c r="AH33">
        <f t="shared" si="32"/>
        <v>346688.49883927876</v>
      </c>
      <c r="AI33" s="3">
        <f t="shared" si="33"/>
        <v>400000</v>
      </c>
      <c r="AJ33" s="3">
        <f t="shared" si="34"/>
        <v>1294149.273779738</v>
      </c>
      <c r="AK33" s="3">
        <f t="shared" si="35"/>
        <v>129827.48744995942</v>
      </c>
      <c r="AL33" s="3">
        <f t="shared" si="36"/>
        <v>1423976.7612296974</v>
      </c>
    </row>
    <row r="35" spans="4:38" x14ac:dyDescent="0.25">
      <c r="S35" s="3"/>
      <c r="AC35" s="9"/>
    </row>
    <row r="36" spans="4:38" x14ac:dyDescent="0.25">
      <c r="S36" s="3"/>
    </row>
    <row r="37" spans="4:38" x14ac:dyDescent="0.25">
      <c r="S37" s="3"/>
    </row>
    <row r="38" spans="4:38" x14ac:dyDescent="0.25">
      <c r="AC38">
        <v>4.5</v>
      </c>
      <c r="AD38">
        <v>-12117</v>
      </c>
      <c r="AE38">
        <f>228127-484000</f>
        <v>-255873</v>
      </c>
      <c r="AF38">
        <f>+AE38/AD38</f>
        <v>21.11686060906165</v>
      </c>
    </row>
    <row r="39" spans="4:38" x14ac:dyDescent="0.25">
      <c r="AC39">
        <v>8</v>
      </c>
      <c r="AD39">
        <v>-7851</v>
      </c>
      <c r="AE39">
        <f>288650-484000</f>
        <v>-195350</v>
      </c>
      <c r="AF39">
        <f t="shared" ref="AF39:AF41" si="37">+AE39/AD39</f>
        <v>24.88218061393453</v>
      </c>
    </row>
    <row r="40" spans="4:38" x14ac:dyDescent="0.25">
      <c r="AC40">
        <v>12</v>
      </c>
      <c r="AD40">
        <v>-2976</v>
      </c>
      <c r="AE40">
        <f>416431-484000</f>
        <v>-67569</v>
      </c>
      <c r="AF40">
        <f t="shared" si="37"/>
        <v>22.704637096774192</v>
      </c>
    </row>
    <row r="41" spans="4:38" x14ac:dyDescent="0.25">
      <c r="AC41">
        <v>15</v>
      </c>
      <c r="AD41">
        <v>679</v>
      </c>
      <c r="AE41">
        <f>512265-484000</f>
        <v>28265</v>
      </c>
      <c r="AF41">
        <f t="shared" si="37"/>
        <v>41.627393225331367</v>
      </c>
    </row>
  </sheetData>
  <mergeCells count="5">
    <mergeCell ref="E1:L1"/>
    <mergeCell ref="M1:O1"/>
    <mergeCell ref="X1:AE1"/>
    <mergeCell ref="AG1:AL1"/>
    <mergeCell ref="A2:B2"/>
  </mergeCells>
  <conditionalFormatting sqref="L3:P33 AD3:AE33">
    <cfRule type="cellIs" dxfId="1" priority="1" operator="lessThan">
      <formula>0</formula>
    </cfRule>
    <cfRule type="cellIs" dxfId="0" priority="2" operator="greaterThan">
      <formula>0</formula>
    </cfRule>
  </conditionalFormatting>
  <dataValidations count="1">
    <dataValidation type="list" allowBlank="1" showInputMessage="1" showErrorMessage="1" sqref="S3" xr:uid="{4357FAC7-CFB8-4BAD-94D8-B71210EE1429}">
      <formula1>$D$2:$D$33</formula1>
    </dataValidation>
  </dataValidations>
  <pageMargins left="0.7" right="0.7" top="0.75" bottom="0.75" header="0.3" footer="0.3"/>
  <pageSetup orientation="portrait" horizontalDpi="1200" verticalDpi="12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36670-639B-409B-BB40-DB8277BAB3A1}">
  <dimension ref="B27:Q56"/>
  <sheetViews>
    <sheetView topLeftCell="A22" workbookViewId="0">
      <selection activeCell="C56" sqref="C56"/>
    </sheetView>
  </sheetViews>
  <sheetFormatPr defaultRowHeight="15" x14ac:dyDescent="0.25"/>
  <sheetData>
    <row r="27" spans="5:14" x14ac:dyDescent="0.25">
      <c r="N27" s="33" t="s">
        <v>66</v>
      </c>
    </row>
    <row r="32" spans="5:14" x14ac:dyDescent="0.25">
      <c r="E32" s="33" t="s">
        <v>60</v>
      </c>
    </row>
    <row r="48" spans="5:5" x14ac:dyDescent="0.25">
      <c r="E48" t="s">
        <v>67</v>
      </c>
    </row>
    <row r="53" spans="2:17" x14ac:dyDescent="0.25">
      <c r="B53" t="s">
        <v>88</v>
      </c>
    </row>
    <row r="54" spans="2:17" x14ac:dyDescent="0.25">
      <c r="B54" t="s">
        <v>61</v>
      </c>
      <c r="C54">
        <v>35</v>
      </c>
      <c r="Q54" s="33" t="s">
        <v>70</v>
      </c>
    </row>
    <row r="55" spans="2:17" x14ac:dyDescent="0.25">
      <c r="B55" t="s">
        <v>62</v>
      </c>
      <c r="C55">
        <f>2024-1984</f>
        <v>40</v>
      </c>
    </row>
    <row r="56" spans="2:17" x14ac:dyDescent="0.25">
      <c r="B56" t="s">
        <v>63</v>
      </c>
      <c r="C56" s="2">
        <f>+(C54^(1/C55))-1</f>
        <v>9.2953540118174693E-2</v>
      </c>
    </row>
  </sheetData>
  <hyperlinks>
    <hyperlink ref="Q54" r:id="rId1" xr:uid="{830FE2EA-3ED3-46E3-81FD-34CF7B07D339}"/>
    <hyperlink ref="N27" r:id="rId2" xr:uid="{5CDB86E0-F72E-4C59-AFA1-8AA424B3850A}"/>
    <hyperlink ref="E32" r:id="rId3" xr:uid="{880EA4E0-672C-4B2D-8457-08278078EE33}"/>
  </hyperlinks>
  <pageMargins left="0.7" right="0.7" top="0.75" bottom="0.75" header="0.3" footer="0.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9CE6FF47F1E442A9D84D44D73990B2" ma:contentTypeVersion="13" ma:contentTypeDescription="Create a new document." ma:contentTypeScope="" ma:versionID="f5be382735f140f6a7cebfe52dc5e1d7">
  <xsd:schema xmlns:xsd="http://www.w3.org/2001/XMLSchema" xmlns:xs="http://www.w3.org/2001/XMLSchema" xmlns:p="http://schemas.microsoft.com/office/2006/metadata/properties" xmlns:ns2="436846e2-47d8-40f3-8b6a-8fc176d2dbb4" xmlns:ns3="002c1c8f-d190-414e-a040-6dd2372d128a" targetNamespace="http://schemas.microsoft.com/office/2006/metadata/properties" ma:root="true" ma:fieldsID="c3de7ae4a044483687c90e34a7cb5470" ns2:_="" ns3:_="">
    <xsd:import namespace="436846e2-47d8-40f3-8b6a-8fc176d2dbb4"/>
    <xsd:import namespace="002c1c8f-d190-414e-a040-6dd2372d128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6846e2-47d8-40f3-8b6a-8fc176d2db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b5cfdfc6-b27f-4d86-8602-f76190f63c03"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02c1c8f-d190-414e-a040-6dd2372d128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e036aed-c6ee-4ec8-83a8-03f3159dd99f}" ma:internalName="TaxCatchAll" ma:showField="CatchAllData" ma:web="002c1c8f-d190-414e-a040-6dd2372d12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6846e2-47d8-40f3-8b6a-8fc176d2dbb4">
      <Terms xmlns="http://schemas.microsoft.com/office/infopath/2007/PartnerControls"/>
    </lcf76f155ced4ddcb4097134ff3c332f>
    <TaxCatchAll xmlns="002c1c8f-d190-414e-a040-6dd2372d128a" xsi:nil="true"/>
  </documentManagement>
</p:properties>
</file>

<file path=customXml/itemProps1.xml><?xml version="1.0" encoding="utf-8"?>
<ds:datastoreItem xmlns:ds="http://schemas.openxmlformats.org/officeDocument/2006/customXml" ds:itemID="{145F779E-253A-4F81-9FA1-193B9CE7D703}">
  <ds:schemaRefs>
    <ds:schemaRef ds:uri="http://schemas.microsoft.com/sharepoint/v3/contenttype/forms"/>
  </ds:schemaRefs>
</ds:datastoreItem>
</file>

<file path=customXml/itemProps2.xml><?xml version="1.0" encoding="utf-8"?>
<ds:datastoreItem xmlns:ds="http://schemas.openxmlformats.org/officeDocument/2006/customXml" ds:itemID="{98C1D6A5-77AF-4E06-8843-064DBFAF74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6846e2-47d8-40f3-8b6a-8fc176d2dbb4"/>
    <ds:schemaRef ds:uri="002c1c8f-d190-414e-a040-6dd2372d12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449C76-1571-444A-BE5F-64C8C536E80A}">
  <ds:schemaRefs>
    <ds:schemaRef ds:uri="http://schemas.microsoft.com/office/2006/metadata/properties"/>
    <ds:schemaRef ds:uri="http://schemas.microsoft.com/office/infopath/2007/PartnerControls"/>
    <ds:schemaRef ds:uri="436846e2-47d8-40f3-8b6a-8fc176d2dbb4"/>
    <ds:schemaRef ds:uri="002c1c8f-d190-414e-a040-6dd2372d128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Compare</vt:lpstr>
      <vt:lpstr>Individual 1</vt:lpstr>
      <vt:lpstr>Individual 2</vt:lpstr>
      <vt:lpstr>Resources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Zak Avery</dc:creator>
  <cp:lastModifiedBy>Zak Avery</cp:lastModifiedBy>
  <dcterms:created xsi:type="dcterms:W3CDTF">2024-06-03T10:09:40Z</dcterms:created>
  <dcterms:modified xsi:type="dcterms:W3CDTF">2025-01-06T13:48:35Z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0x010100BB9CE6FF47F1E442A9D84D44D73990B2</vt:lpwstr>
  </property>
  <property fmtid="{D5CDD505-2E9C-101B-9397-08002B2CF9AE}" pid="3" name="MediaServiceImageTags">
    <vt:lpwstr/>
  </property>
</Properties>
</file>